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tapavv-my.sharepoint.com/personal/marko_teiva_tapa_ee/Documents/Töölaud/Arenegukava/2023/15.01.2024/"/>
    </mc:Choice>
  </mc:AlternateContent>
  <xr:revisionPtr revIDLastSave="172" documentId="8_{9AF338D6-916D-428F-8FF7-8E394BACB03D}" xr6:coauthVersionLast="47" xr6:coauthVersionMax="47" xr10:uidLastSave="{D32CCEF8-DB92-4208-B736-CA6C7B772493}"/>
  <bookViews>
    <workbookView xWindow="-120" yWindow="-120" windowWidth="25440" windowHeight="15390" tabRatio="500" xr2:uid="{00000000-000D-0000-FFFF-FFFF00000000}"/>
  </bookViews>
  <sheets>
    <sheet name="Strateegia vorm KOV" sheetId="3" r:id="rId1"/>
    <sheet name="Arvestusüksus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6" i="3" l="1"/>
  <c r="G176" i="3"/>
  <c r="F176" i="3"/>
  <c r="E176" i="3"/>
  <c r="E174" i="3" s="1"/>
  <c r="D176" i="3"/>
  <c r="H175" i="3"/>
  <c r="H174" i="3" s="1"/>
  <c r="G175" i="3"/>
  <c r="G174" i="3" s="1"/>
  <c r="F175" i="3"/>
  <c r="E175" i="3"/>
  <c r="D175" i="3"/>
  <c r="D174" i="3" s="1"/>
  <c r="F174" i="3"/>
  <c r="H171" i="3"/>
  <c r="G171" i="3"/>
  <c r="F171" i="3"/>
  <c r="E171" i="3"/>
  <c r="D171" i="3"/>
  <c r="C171" i="3"/>
  <c r="H168" i="3"/>
  <c r="G168" i="3"/>
  <c r="F168" i="3"/>
  <c r="E168" i="3"/>
  <c r="D168" i="3"/>
  <c r="C168" i="3"/>
  <c r="H165" i="3"/>
  <c r="G165" i="3"/>
  <c r="F165" i="3"/>
  <c r="E165" i="3"/>
  <c r="D165" i="3"/>
  <c r="C165" i="3"/>
  <c r="H162" i="3"/>
  <c r="G162" i="3"/>
  <c r="F162" i="3"/>
  <c r="E162" i="3"/>
  <c r="D162" i="3"/>
  <c r="C162" i="3"/>
  <c r="H159" i="3"/>
  <c r="G159" i="3"/>
  <c r="F159" i="3"/>
  <c r="E159" i="3"/>
  <c r="D159" i="3"/>
  <c r="C159" i="3"/>
  <c r="H156" i="3"/>
  <c r="G156" i="3"/>
  <c r="F156" i="3"/>
  <c r="E156" i="3"/>
  <c r="D156" i="3"/>
  <c r="C156" i="3"/>
  <c r="H153" i="3"/>
  <c r="G153" i="3"/>
  <c r="F153" i="3"/>
  <c r="E153" i="3"/>
  <c r="D153" i="3"/>
  <c r="C153" i="3"/>
  <c r="H150" i="3"/>
  <c r="G150" i="3"/>
  <c r="F150" i="3"/>
  <c r="E150" i="3"/>
  <c r="D150" i="3"/>
  <c r="C150" i="3"/>
  <c r="H147" i="3"/>
  <c r="G147" i="3"/>
  <c r="F147" i="3"/>
  <c r="E147" i="3"/>
  <c r="D147" i="3"/>
  <c r="C147" i="3"/>
  <c r="H144" i="3"/>
  <c r="G144" i="3"/>
  <c r="F144" i="3"/>
  <c r="E144" i="3"/>
  <c r="D144" i="3"/>
  <c r="C144" i="3"/>
  <c r="H141" i="3"/>
  <c r="G141" i="3"/>
  <c r="F141" i="3"/>
  <c r="E141" i="3"/>
  <c r="D141" i="3"/>
  <c r="C141" i="3"/>
  <c r="H138" i="3"/>
  <c r="G138" i="3"/>
  <c r="F138" i="3"/>
  <c r="E138" i="3"/>
  <c r="D138" i="3"/>
  <c r="C138" i="3"/>
  <c r="H135" i="3"/>
  <c r="G135" i="3"/>
  <c r="F135" i="3"/>
  <c r="E135" i="3"/>
  <c r="D135" i="3"/>
  <c r="C135" i="3"/>
  <c r="H132" i="3"/>
  <c r="G132" i="3"/>
  <c r="F132" i="3"/>
  <c r="E132" i="3"/>
  <c r="D132" i="3"/>
  <c r="C132" i="3"/>
  <c r="H129" i="3"/>
  <c r="G129" i="3"/>
  <c r="F129" i="3"/>
  <c r="E129" i="3"/>
  <c r="D129" i="3"/>
  <c r="C129" i="3"/>
  <c r="H126" i="3"/>
  <c r="G126" i="3"/>
  <c r="F126" i="3"/>
  <c r="E126" i="3"/>
  <c r="D126" i="3"/>
  <c r="C126" i="3"/>
  <c r="H123" i="3"/>
  <c r="G123" i="3"/>
  <c r="F123" i="3"/>
  <c r="E123" i="3"/>
  <c r="D123" i="3"/>
  <c r="C123" i="3"/>
  <c r="H120" i="3"/>
  <c r="G120" i="3"/>
  <c r="F120" i="3"/>
  <c r="E120" i="3"/>
  <c r="D120" i="3"/>
  <c r="C120" i="3"/>
  <c r="H117" i="3"/>
  <c r="G117" i="3"/>
  <c r="F117" i="3"/>
  <c r="E117" i="3"/>
  <c r="D117" i="3"/>
  <c r="C117" i="3"/>
  <c r="H114" i="3"/>
  <c r="G114" i="3"/>
  <c r="F114" i="3"/>
  <c r="E114" i="3"/>
  <c r="D114" i="3"/>
  <c r="C114" i="3"/>
  <c r="H111" i="3"/>
  <c r="G111" i="3"/>
  <c r="F111" i="3"/>
  <c r="E111" i="3"/>
  <c r="D111" i="3"/>
  <c r="C111" i="3"/>
  <c r="C109" i="3"/>
  <c r="C108" i="3" s="1"/>
  <c r="H108" i="3"/>
  <c r="G108" i="3"/>
  <c r="F108" i="3"/>
  <c r="E108" i="3"/>
  <c r="D108" i="3"/>
  <c r="H105" i="3"/>
  <c r="G105" i="3"/>
  <c r="F105" i="3"/>
  <c r="E105" i="3"/>
  <c r="D105" i="3"/>
  <c r="C105" i="3"/>
  <c r="H102" i="3"/>
  <c r="G102" i="3"/>
  <c r="F102" i="3"/>
  <c r="E102" i="3"/>
  <c r="D102" i="3"/>
  <c r="C102" i="3"/>
  <c r="H99" i="3"/>
  <c r="G99" i="3"/>
  <c r="F99" i="3"/>
  <c r="E99" i="3"/>
  <c r="D99" i="3"/>
  <c r="C99" i="3"/>
  <c r="H96" i="3"/>
  <c r="G96" i="3"/>
  <c r="F96" i="3"/>
  <c r="E96" i="3"/>
  <c r="D96" i="3"/>
  <c r="C96" i="3"/>
  <c r="C95" i="3"/>
  <c r="H93" i="3"/>
  <c r="G93" i="3"/>
  <c r="F93" i="3"/>
  <c r="E93" i="3"/>
  <c r="D93" i="3"/>
  <c r="H87" i="3"/>
  <c r="G87" i="3"/>
  <c r="F87" i="3"/>
  <c r="E87" i="3"/>
  <c r="D87" i="3"/>
  <c r="D85" i="3" s="1"/>
  <c r="C87" i="3"/>
  <c r="H86" i="3"/>
  <c r="G86" i="3"/>
  <c r="G85" i="3" s="1"/>
  <c r="F86" i="3"/>
  <c r="F85" i="3" s="1"/>
  <c r="E86" i="3"/>
  <c r="D86" i="3"/>
  <c r="C86" i="3"/>
  <c r="H85" i="3"/>
  <c r="H84" i="3"/>
  <c r="G84" i="3"/>
  <c r="F84" i="3"/>
  <c r="E84" i="3"/>
  <c r="D84" i="3"/>
  <c r="C84" i="3"/>
  <c r="H83" i="3"/>
  <c r="G83" i="3"/>
  <c r="F83" i="3"/>
  <c r="E83" i="3"/>
  <c r="E82" i="3" s="1"/>
  <c r="D83" i="3"/>
  <c r="C83" i="3"/>
  <c r="F82" i="3"/>
  <c r="H81" i="3"/>
  <c r="G81" i="3"/>
  <c r="F81" i="3"/>
  <c r="E81" i="3"/>
  <c r="D81" i="3"/>
  <c r="C81" i="3"/>
  <c r="H80" i="3"/>
  <c r="H79" i="3" s="1"/>
  <c r="G80" i="3"/>
  <c r="G79" i="3" s="1"/>
  <c r="F80" i="3"/>
  <c r="E80" i="3"/>
  <c r="D80" i="3"/>
  <c r="C80" i="3"/>
  <c r="D79" i="3"/>
  <c r="C79" i="3"/>
  <c r="H78" i="3"/>
  <c r="G78" i="3"/>
  <c r="F78" i="3"/>
  <c r="E78" i="3"/>
  <c r="E90" i="3" s="1"/>
  <c r="E24" i="3" s="1"/>
  <c r="E52" i="3" s="1"/>
  <c r="D78" i="3"/>
  <c r="C78" i="3"/>
  <c r="H77" i="3"/>
  <c r="H76" i="3" s="1"/>
  <c r="G77" i="3"/>
  <c r="G76" i="3" s="1"/>
  <c r="F77" i="3"/>
  <c r="E77" i="3"/>
  <c r="D77" i="3"/>
  <c r="D76" i="3" s="1"/>
  <c r="C77" i="3"/>
  <c r="C76" i="3" s="1"/>
  <c r="H75" i="3"/>
  <c r="G75" i="3"/>
  <c r="F75" i="3"/>
  <c r="E75" i="3"/>
  <c r="D75" i="3"/>
  <c r="C75" i="3"/>
  <c r="H74" i="3"/>
  <c r="H73" i="3" s="1"/>
  <c r="G74" i="3"/>
  <c r="F74" i="3"/>
  <c r="E74" i="3"/>
  <c r="E73" i="3" s="1"/>
  <c r="D74" i="3"/>
  <c r="G73" i="3"/>
  <c r="D73" i="3"/>
  <c r="H70" i="3"/>
  <c r="G70" i="3"/>
  <c r="F70" i="3"/>
  <c r="E70" i="3"/>
  <c r="D70" i="3"/>
  <c r="C70" i="3"/>
  <c r="H69" i="3"/>
  <c r="G69" i="3"/>
  <c r="F69" i="3"/>
  <c r="E69" i="3"/>
  <c r="D69" i="3"/>
  <c r="C69" i="3"/>
  <c r="C67" i="3" s="1"/>
  <c r="H68" i="3"/>
  <c r="G68" i="3"/>
  <c r="F68" i="3"/>
  <c r="E68" i="3"/>
  <c r="D68" i="3"/>
  <c r="C68" i="3"/>
  <c r="H67" i="3"/>
  <c r="G67" i="3"/>
  <c r="C65" i="3"/>
  <c r="H64" i="3"/>
  <c r="G64" i="3"/>
  <c r="F64" i="3"/>
  <c r="E64" i="3"/>
  <c r="D64" i="3"/>
  <c r="H61" i="3"/>
  <c r="G61" i="3"/>
  <c r="F61" i="3"/>
  <c r="E61" i="3"/>
  <c r="D61" i="3"/>
  <c r="C61" i="3"/>
  <c r="H58" i="3"/>
  <c r="G58" i="3"/>
  <c r="F58" i="3"/>
  <c r="E58" i="3"/>
  <c r="D58" i="3"/>
  <c r="C58" i="3"/>
  <c r="C44" i="3"/>
  <c r="B44" i="3"/>
  <c r="B42" i="3"/>
  <c r="B41" i="3"/>
  <c r="C40" i="3"/>
  <c r="H38" i="3"/>
  <c r="G38" i="3"/>
  <c r="F38" i="3"/>
  <c r="E38" i="3"/>
  <c r="D38" i="3"/>
  <c r="C38" i="3"/>
  <c r="B38" i="3"/>
  <c r="C37" i="3"/>
  <c r="B37" i="3"/>
  <c r="H36" i="3"/>
  <c r="H34" i="3" s="1"/>
  <c r="G36" i="3"/>
  <c r="F36" i="3"/>
  <c r="E36" i="3"/>
  <c r="D36" i="3"/>
  <c r="D34" i="3" s="1"/>
  <c r="C36" i="3"/>
  <c r="B36" i="3"/>
  <c r="C35" i="3"/>
  <c r="B35" i="3"/>
  <c r="B34" i="3" s="1"/>
  <c r="G34" i="3"/>
  <c r="F34" i="3"/>
  <c r="E34" i="3"/>
  <c r="H32" i="3"/>
  <c r="H21" i="3" s="1"/>
  <c r="G32" i="3"/>
  <c r="F32" i="3"/>
  <c r="E32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3" i="3"/>
  <c r="B23" i="3"/>
  <c r="C22" i="3"/>
  <c r="B22" i="3"/>
  <c r="C19" i="3"/>
  <c r="B19" i="3"/>
  <c r="E17" i="3"/>
  <c r="F17" i="3" s="1"/>
  <c r="G17" i="3" s="1"/>
  <c r="H17" i="3" s="1"/>
  <c r="C17" i="3"/>
  <c r="B17" i="3"/>
  <c r="G16" i="3"/>
  <c r="E16" i="3"/>
  <c r="F16" i="3" s="1"/>
  <c r="F15" i="3" s="1"/>
  <c r="C16" i="3"/>
  <c r="B16" i="3"/>
  <c r="E15" i="3"/>
  <c r="E13" i="3" s="1"/>
  <c r="E54" i="3" s="1"/>
  <c r="D15" i="3"/>
  <c r="C14" i="3"/>
  <c r="B14" i="3"/>
  <c r="F13" i="3"/>
  <c r="D13" i="3"/>
  <c r="C12" i="3"/>
  <c r="B12" i="3"/>
  <c r="C11" i="3"/>
  <c r="B11" i="3"/>
  <c r="E10" i="3"/>
  <c r="F10" i="3" s="1"/>
  <c r="C10" i="3"/>
  <c r="B10" i="3"/>
  <c r="C9" i="3"/>
  <c r="B9" i="3"/>
  <c r="E8" i="3"/>
  <c r="D8" i="3"/>
  <c r="C7" i="3"/>
  <c r="B7" i="3"/>
  <c r="C6" i="3"/>
  <c r="B6" i="3"/>
  <c r="C5" i="3"/>
  <c r="B5" i="3"/>
  <c r="F4" i="3"/>
  <c r="F3" i="3" s="1"/>
  <c r="E4" i="3"/>
  <c r="C4" i="3"/>
  <c r="B4" i="3"/>
  <c r="E3" i="3"/>
  <c r="D3" i="3"/>
  <c r="D2" i="3" s="1"/>
  <c r="G14" i="2"/>
  <c r="F14" i="2"/>
  <c r="E14" i="2"/>
  <c r="D14" i="2"/>
  <c r="C14" i="2"/>
  <c r="B14" i="2"/>
  <c r="B13" i="2"/>
  <c r="B12" i="2"/>
  <c r="C9" i="2"/>
  <c r="B9" i="2"/>
  <c r="G4" i="2"/>
  <c r="F4" i="2"/>
  <c r="E4" i="2"/>
  <c r="D4" i="2"/>
  <c r="C4" i="2"/>
  <c r="B4" i="2"/>
  <c r="H17" i="2"/>
  <c r="B15" i="2" l="1"/>
  <c r="C41" i="3"/>
  <c r="B45" i="3"/>
  <c r="F89" i="3"/>
  <c r="F25" i="3" s="1"/>
  <c r="D90" i="3"/>
  <c r="D24" i="3" s="1"/>
  <c r="D52" i="3" s="1"/>
  <c r="F90" i="3"/>
  <c r="F24" i="3" s="1"/>
  <c r="F52" i="3" s="1"/>
  <c r="C3" i="3"/>
  <c r="B8" i="3"/>
  <c r="C15" i="3"/>
  <c r="C13" i="3" s="1"/>
  <c r="B24" i="3"/>
  <c r="B52" i="3" s="1"/>
  <c r="C34" i="3"/>
  <c r="C42" i="3" s="1"/>
  <c r="F73" i="3"/>
  <c r="E79" i="3"/>
  <c r="C82" i="3"/>
  <c r="G82" i="3"/>
  <c r="B15" i="3"/>
  <c r="B13" i="3" s="1"/>
  <c r="C54" i="3" s="1"/>
  <c r="H90" i="3"/>
  <c r="H24" i="3" s="1"/>
  <c r="H52" i="3" s="1"/>
  <c r="C175" i="3"/>
  <c r="C21" i="3"/>
  <c r="D67" i="3"/>
  <c r="C74" i="3"/>
  <c r="C73" i="3" s="1"/>
  <c r="F76" i="3"/>
  <c r="F79" i="3"/>
  <c r="D82" i="3"/>
  <c r="H82" i="3"/>
  <c r="E85" i="3"/>
  <c r="C85" i="3"/>
  <c r="G10" i="3"/>
  <c r="F8" i="3"/>
  <c r="D55" i="3"/>
  <c r="D20" i="3"/>
  <c r="G89" i="3"/>
  <c r="D54" i="3"/>
  <c r="E89" i="3"/>
  <c r="E67" i="3"/>
  <c r="G90" i="3"/>
  <c r="G24" i="3" s="1"/>
  <c r="G52" i="3" s="1"/>
  <c r="E76" i="3"/>
  <c r="H16" i="3"/>
  <c r="H15" i="3" s="1"/>
  <c r="H13" i="3" s="1"/>
  <c r="G15" i="3"/>
  <c r="G13" i="3" s="1"/>
  <c r="G54" i="3" s="1"/>
  <c r="E2" i="3"/>
  <c r="B21" i="3"/>
  <c r="C66" i="3"/>
  <c r="C176" i="3"/>
  <c r="C93" i="3"/>
  <c r="C174" i="3"/>
  <c r="F2" i="3"/>
  <c r="B3" i="3"/>
  <c r="G4" i="3"/>
  <c r="C8" i="3"/>
  <c r="F54" i="3"/>
  <c r="F88" i="3"/>
  <c r="F23" i="3" s="1"/>
  <c r="C89" i="3"/>
  <c r="H89" i="3"/>
  <c r="H88" i="3" s="1"/>
  <c r="H23" i="3" s="1"/>
  <c r="D89" i="3"/>
  <c r="F67" i="3"/>
  <c r="C12" i="2"/>
  <c r="C2" i="3" l="1"/>
  <c r="D53" i="3" s="1"/>
  <c r="C45" i="3"/>
  <c r="C46" i="3" s="1"/>
  <c r="D42" i="3"/>
  <c r="D88" i="3"/>
  <c r="D23" i="3" s="1"/>
  <c r="B2" i="3"/>
  <c r="B46" i="3" s="1"/>
  <c r="F21" i="3"/>
  <c r="E53" i="3"/>
  <c r="E20" i="3"/>
  <c r="E55" i="3"/>
  <c r="H54" i="3"/>
  <c r="E25" i="3"/>
  <c r="E88" i="3"/>
  <c r="E23" i="3" s="1"/>
  <c r="C20" i="3"/>
  <c r="C55" i="3"/>
  <c r="G3" i="3"/>
  <c r="H4" i="3"/>
  <c r="H3" i="3" s="1"/>
  <c r="G88" i="3"/>
  <c r="G23" i="3" s="1"/>
  <c r="D21" i="3"/>
  <c r="D33" i="3" s="1"/>
  <c r="F55" i="3"/>
  <c r="F20" i="3"/>
  <c r="F53" i="3"/>
  <c r="C90" i="3"/>
  <c r="C24" i="3" s="1"/>
  <c r="C52" i="3" s="1"/>
  <c r="C64" i="3"/>
  <c r="E42" i="3"/>
  <c r="D47" i="3"/>
  <c r="H10" i="3"/>
  <c r="H8" i="3" s="1"/>
  <c r="G8" i="3"/>
  <c r="D8" i="2"/>
  <c r="F8" i="2"/>
  <c r="B3" i="2"/>
  <c r="B8" i="2"/>
  <c r="C6" i="2"/>
  <c r="B55" i="3" l="1"/>
  <c r="H2" i="3"/>
  <c r="B20" i="3"/>
  <c r="G2" i="3"/>
  <c r="G53" i="3" s="1"/>
  <c r="C53" i="3"/>
  <c r="H55" i="3"/>
  <c r="H20" i="3"/>
  <c r="E47" i="3"/>
  <c r="D48" i="3"/>
  <c r="G55" i="3"/>
  <c r="F42" i="3"/>
  <c r="C47" i="3"/>
  <c r="C33" i="3"/>
  <c r="C51" i="3" s="1"/>
  <c r="D37" i="3"/>
  <c r="D41" i="3" s="1"/>
  <c r="B47" i="3"/>
  <c r="B33" i="3"/>
  <c r="B51" i="3" s="1"/>
  <c r="E21" i="3"/>
  <c r="E33" i="3" s="1"/>
  <c r="F47" i="3"/>
  <c r="F33" i="3"/>
  <c r="G21" i="3"/>
  <c r="C88" i="3"/>
  <c r="G8" i="2"/>
  <c r="C8" i="2"/>
  <c r="C2" i="2"/>
  <c r="B6" i="2"/>
  <c r="D3" i="2"/>
  <c r="C3" i="2"/>
  <c r="D2" i="2"/>
  <c r="B2" i="2"/>
  <c r="B16" i="2" s="1"/>
  <c r="E8" i="2"/>
  <c r="C5" i="2" l="1"/>
  <c r="H53" i="3"/>
  <c r="D51" i="3"/>
  <c r="G20" i="3"/>
  <c r="G47" i="3" s="1"/>
  <c r="E37" i="3"/>
  <c r="E51" i="3" s="1"/>
  <c r="D45" i="3"/>
  <c r="H47" i="3"/>
  <c r="H33" i="3"/>
  <c r="F37" i="3"/>
  <c r="F51" i="3" s="1"/>
  <c r="G42" i="3"/>
  <c r="F48" i="3"/>
  <c r="B48" i="3"/>
  <c r="B49" i="3"/>
  <c r="C49" i="3"/>
  <c r="C48" i="3"/>
  <c r="E48" i="3"/>
  <c r="B5" i="2"/>
  <c r="C17" i="2"/>
  <c r="C7" i="2"/>
  <c r="C10" i="2" s="1"/>
  <c r="F3" i="2"/>
  <c r="C13" i="2"/>
  <c r="C15" i="2" s="1"/>
  <c r="C16" i="2" s="1"/>
  <c r="D5" i="2"/>
  <c r="E2" i="2"/>
  <c r="E3" i="2"/>
  <c r="G33" i="3" l="1"/>
  <c r="H37" i="3"/>
  <c r="H51" i="3" s="1"/>
  <c r="H48" i="3"/>
  <c r="G37" i="3"/>
  <c r="G51" i="3" s="1"/>
  <c r="H42" i="3"/>
  <c r="G48" i="3"/>
  <c r="D46" i="3"/>
  <c r="D49" i="3"/>
  <c r="E41" i="3"/>
  <c r="E5" i="2"/>
  <c r="E17" i="2" s="1"/>
  <c r="C19" i="2"/>
  <c r="C18" i="2"/>
  <c r="D6" i="2"/>
  <c r="D17" i="2"/>
  <c r="D7" i="2"/>
  <c r="D13" i="2"/>
  <c r="F2" i="2"/>
  <c r="F5" i="2" s="1"/>
  <c r="B7" i="2"/>
  <c r="B10" i="2" s="1"/>
  <c r="B17" i="2"/>
  <c r="F41" i="3" l="1"/>
  <c r="E45" i="3"/>
  <c r="F17" i="2"/>
  <c r="B18" i="2"/>
  <c r="B19" i="2"/>
  <c r="E13" i="2"/>
  <c r="F6" i="2"/>
  <c r="F7" i="2" s="1"/>
  <c r="G2" i="2"/>
  <c r="E18" i="2"/>
  <c r="G3" i="2"/>
  <c r="D9" i="2"/>
  <c r="D12" i="2" s="1"/>
  <c r="D15" i="2" s="1"/>
  <c r="D16" i="2" s="1"/>
  <c r="D18" i="2"/>
  <c r="G6" i="2"/>
  <c r="E46" i="3" l="1"/>
  <c r="E49" i="3"/>
  <c r="G41" i="3"/>
  <c r="F45" i="3"/>
  <c r="D10" i="2"/>
  <c r="G5" i="2"/>
  <c r="G7" i="2" s="1"/>
  <c r="G17" i="2"/>
  <c r="F13" i="2"/>
  <c r="E6" i="2"/>
  <c r="E7" i="2" s="1"/>
  <c r="D19" i="2"/>
  <c r="F18" i="2"/>
  <c r="F46" i="3" l="1"/>
  <c r="F49" i="3"/>
  <c r="H41" i="3"/>
  <c r="H45" i="3" s="1"/>
  <c r="G45" i="3"/>
  <c r="F9" i="2"/>
  <c r="F10" i="2" s="1"/>
  <c r="G13" i="2"/>
  <c r="G18" i="2"/>
  <c r="G46" i="3" l="1"/>
  <c r="G49" i="3"/>
  <c r="H46" i="3"/>
  <c r="H49" i="3"/>
  <c r="E9" i="2"/>
  <c r="G9" i="2"/>
  <c r="G10" i="2" s="1"/>
  <c r="E12" i="2" l="1"/>
  <c r="E10" i="2"/>
  <c r="F12" i="2" l="1"/>
  <c r="E15" i="2"/>
  <c r="G12" i="2" l="1"/>
  <c r="G15" i="2" s="1"/>
  <c r="F15" i="2"/>
  <c r="E16" i="2"/>
  <c r="E19" i="2"/>
  <c r="F16" i="2" l="1"/>
  <c r="F19" i="2"/>
  <c r="G16" i="2"/>
  <c r="G19" i="2"/>
  <c r="I17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</author>
    <author>kersti.sannik</author>
  </authors>
  <commentList>
    <comment ref="D10" authorId="0" shapeId="0" xr:uid="{B4E3379D-8080-4A1B-8332-6500BBF28C5F}">
      <text>
        <r>
          <rPr>
            <b/>
            <sz val="9"/>
            <color indexed="81"/>
            <rFont val="Segoe UI"/>
            <family val="2"/>
            <charset val="186"/>
          </rPr>
          <t>Helen:</t>
        </r>
        <r>
          <rPr>
            <sz val="9"/>
            <color indexed="81"/>
            <rFont val="Segoe UI"/>
            <family val="2"/>
            <charset val="186"/>
          </rPr>
          <t xml:space="preserve">
2023 aasta toetusfondist lahutada asenduskodu 655 675 € ja hooldereform 378451€, matusetoetus 40 603 € ja energiatoetus 67 731€</t>
        </r>
      </text>
    </comment>
    <comment ref="A44" authorId="1" shapeId="0" xr:uid="{32F06FA0-8B9E-44F6-8EE4-2AC28210869B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sildfinantseering</t>
        </r>
      </text>
    </comment>
    <comment ref="A47" authorId="1" shapeId="0" xr:uid="{45C15452-6DA0-4D9B-97E2-9966E070AE37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piirmäär, millest rohkem võlakohustusi võtta ei tohi</t>
        </r>
      </text>
    </comment>
    <comment ref="A48" authorId="1" shapeId="0" xr:uid="{0547FB21-6A22-464E-9CE2-878160A3D344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 (%), millest rohkem võlakohustusi võtta ei tohi</t>
        </r>
      </text>
    </comment>
    <comment ref="A52" authorId="1" shapeId="0" xr:uid="{7F9DC1F5-CD51-4137-9128-77480114473C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laenu ei tohi rohkem võtta kui investeeringute omaosaluse katteks, osakute soetamiseks ja sihtfini ning laenu andmiseks</t>
        </r>
      </text>
    </comment>
  </commentList>
</comments>
</file>

<file path=xl/sharedStrings.xml><?xml version="1.0" encoding="utf-8"?>
<sst xmlns="http://schemas.openxmlformats.org/spreadsheetml/2006/main" count="212" uniqueCount="114">
  <si>
    <t xml:space="preserve">2024 eelarve  </t>
  </si>
  <si>
    <t xml:space="preserve">2025 eelarve  </t>
  </si>
  <si>
    <t xml:space="preserve">2026 eelarve  </t>
  </si>
  <si>
    <t>Põhitegevuse tulud kokku</t>
  </si>
  <si>
    <t xml:space="preserve">     Maksutulud</t>
  </si>
  <si>
    <t xml:space="preserve">          sh tulumaks</t>
  </si>
  <si>
    <t xml:space="preserve">          sh maamaks</t>
  </si>
  <si>
    <t xml:space="preserve">          sh muud maksutulud</t>
  </si>
  <si>
    <t xml:space="preserve">    Tulud kaupade ja teenuste müügist</t>
  </si>
  <si>
    <t xml:space="preserve">    Saadavad toetused tegevuskuludeks</t>
  </si>
  <si>
    <t xml:space="preserve">         sh  tasandusfond </t>
  </si>
  <si>
    <t xml:space="preserve">         sh  toetusfond</t>
  </si>
  <si>
    <t xml:space="preserve">         sh muud saadud toetused tegevuskuludeks</t>
  </si>
  <si>
    <t xml:space="preserve">     Muud tegevustulud</t>
  </si>
  <si>
    <t>Põhitegevuse kulud kokku</t>
  </si>
  <si>
    <t xml:space="preserve">     Antavad toetused tegevuskuludeks</t>
  </si>
  <si>
    <t xml:space="preserve">     Muud tegevuskulud</t>
  </si>
  <si>
    <t xml:space="preserve">          sh personalikulud</t>
  </si>
  <si>
    <t xml:space="preserve">          sh majandamiskulud</t>
  </si>
  <si>
    <t xml:space="preserve">          sh muud kulud</t>
  </si>
  <si>
    <t>Põhitegevuse tulem</t>
  </si>
  <si>
    <t>Investeerimistegevus kokku</t>
  </si>
  <si>
    <t xml:space="preserve">    Põhivara müük (+)</t>
  </si>
  <si>
    <t xml:space="preserve">    Põhivara soetus (-)</t>
  </si>
  <si>
    <t xml:space="preserve">         sh projektide omaosalus</t>
  </si>
  <si>
    <t xml:space="preserve">   Põhivara soetuseks saadav sihtfinantseerimine (+)</t>
  </si>
  <si>
    <t xml:space="preserve">   Põhivara soetuseks antav sihtfinantseerimine (-)</t>
  </si>
  <si>
    <t xml:space="preserve">   Osaluste ning muude aktsiate ja osade müük (+)</t>
  </si>
  <si>
    <t xml:space="preserve">   Osaluste ning muude aktsiate ja osade soetus (-)</t>
  </si>
  <si>
    <t xml:space="preserve">   Tagasilaekuvad laenud (+)</t>
  </si>
  <si>
    <t xml:space="preserve">   Antavad laenud (-)</t>
  </si>
  <si>
    <t xml:space="preserve">   Finantstulud (+)</t>
  </si>
  <si>
    <t xml:space="preserve">   Finantskulud (-)</t>
  </si>
  <si>
    <t>Eelarve tulem</t>
  </si>
  <si>
    <t>Finantseerimistegevus</t>
  </si>
  <si>
    <t xml:space="preserve">   Kohustiste võtmine (+)</t>
  </si>
  <si>
    <t xml:space="preserve">   Kohustiste tasumine (-)</t>
  </si>
  <si>
    <t>Likviidsete varade muutus (+ suurenemine, - vähenemine)</t>
  </si>
  <si>
    <t>Nõuete ja kohustiste saldode muutus kokku (+ /-)</t>
  </si>
  <si>
    <t xml:space="preserve">   sh nõuete muutus (- suurenemine/ + vähenemine)</t>
  </si>
  <si>
    <t xml:space="preserve">   sh kohustiste muutus (+ suurenemine/ - vähenemine)</t>
  </si>
  <si>
    <t>Likviidsete varade suunamata jääk aasta lõpuks</t>
  </si>
  <si>
    <t>Võlakohustised kokku aasta lõpu seisuga</t>
  </si>
  <si>
    <t xml:space="preserve">    sh üle 1 a perioodiga mittekatkestatav kasutusrent (konto 913100), sihtfinantseerimise kohustised (konto 253550), saadud ettemaksed (kontogrupp 2038)</t>
  </si>
  <si>
    <t xml:space="preserve">    sh kohustised, mille võrra võib ületada netovõlakoormuse piirmäära</t>
  </si>
  <si>
    <t>Vaba netovõlakoormus (eurodes)</t>
  </si>
  <si>
    <t>E/a kontroll (tasakaal)</t>
  </si>
  <si>
    <t>Põhitegevuse tulude muutus</t>
  </si>
  <si>
    <t>-</t>
  </si>
  <si>
    <t>Põhitegevuse kulude muutus</t>
  </si>
  <si>
    <t>Omafinantseerimise võimekuse näitaja</t>
  </si>
  <si>
    <t>Investeeringuobjektid* (alati "+" märgiga)</t>
  </si>
  <si>
    <t>01 Üldised valitsussektori teenused</t>
  </si>
  <si>
    <t>sh toetuse arvelt</t>
  </si>
  <si>
    <t>sh muude vahendite arvelt (omaosalus)</t>
  </si>
  <si>
    <t>03 Avalik kord ja julgeolek</t>
  </si>
  <si>
    <t>04 Majandus</t>
  </si>
  <si>
    <t>05 Keskkonnakaitse</t>
  </si>
  <si>
    <t>06 Elamu- ja kommunaalmajandus</t>
  </si>
  <si>
    <t>07 Tervishoid</t>
  </si>
  <si>
    <t>08 Vabaaeg, kultuur ja religioon</t>
  </si>
  <si>
    <t>09 Haridus</t>
  </si>
  <si>
    <t>10 Sotsiaalne kaitse</t>
  </si>
  <si>
    <t>KÕIK KOKKU</t>
  </si>
  <si>
    <t>Suuremad investeeringud nimeliselt</t>
  </si>
  <si>
    <t>03 Päästeteenused Generaatorid</t>
  </si>
  <si>
    <t>04 Teehoiukava elluviimine</t>
  </si>
  <si>
    <t>04 Tapa linna vabadussamba rajamine</t>
  </si>
  <si>
    <t>04 Energiasäästumeetmete rakendamine munitsipaalhenetes</t>
  </si>
  <si>
    <t>06 Tänavavalgustuse rekonstrueerimine Tapa, Tamsalu</t>
  </si>
  <si>
    <t>08 Tamsalu Kultuurimaja katus</t>
  </si>
  <si>
    <t>Põhitegevustulem</t>
  </si>
  <si>
    <t>Nõuete ja kohustuste saldode muutus (+/-)</t>
  </si>
  <si>
    <t>Võlakohustused kokku aasta lõpu seisuga</t>
  </si>
  <si>
    <t xml:space="preserve">    sh kohustused, mille võrra võib ületada netovõlakoormuse piirmäära (arvestusüksuse väline)</t>
  </si>
  <si>
    <t>Netovõlakoormus (eurodes)</t>
  </si>
  <si>
    <t>Netovõlakoormus (%)</t>
  </si>
  <si>
    <t>Netovõlakoormuse ülemmäär (eurodes)</t>
  </si>
  <si>
    <t>Netovõlakoormuse ülemmäär (%)</t>
  </si>
  <si>
    <t>Tapa vald</t>
  </si>
  <si>
    <t>2022 täitmine</t>
  </si>
  <si>
    <t>2023 eeldatav täitmine</t>
  </si>
  <si>
    <t xml:space="preserve">2027 eelarve  </t>
  </si>
  <si>
    <r>
      <t xml:space="preserve">         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 </t>
    </r>
  </si>
  <si>
    <r>
      <t>Netovõlakoormus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</si>
  <si>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r>
      <t>Netovõlakoormus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</si>
  <si>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r>
      <t>Netovõlakoormuse ülemmäär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</si>
  <si>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r>
      <t>Netovõlakoormuse individuaalne ülemmäär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</si>
  <si>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t>Kohustiste võtmise kontroll</t>
  </si>
  <si>
    <t>02 Riigikaitse</t>
  </si>
  <si>
    <t>04 Ettevõtlusala Paide mnt 85</t>
  </si>
  <si>
    <t>06 Ambla mnt 41A ja Pargi tn 23 A kruntide moodustamine ning kinnistute ostmine Maa-ametilt, taristu</t>
  </si>
  <si>
    <t>07 Investeeringutoetus Rakvere Haiglale art 4502</t>
  </si>
  <si>
    <t>08 Puhkepargid Lehtse spordiväljak MATA</t>
  </si>
  <si>
    <t xml:space="preserve">08 Puhkepargid </t>
  </si>
  <si>
    <t>08 Jäneda spordihoone energiatõhususe
parandamise projekteerimistööd</t>
  </si>
  <si>
    <t>09 Lasteaed Vikerkaar mänguväljak</t>
  </si>
  <si>
    <t>09 Tamsalu Gümnaasium kuuri lammutamine ja graaži renoveerimine</t>
  </si>
  <si>
    <t>09 Jäneda Kool kahe tuulekoja põrand ja kivisillutis koolisissepääs</t>
  </si>
  <si>
    <t xml:space="preserve">10 Eluasemeteenused sotsiaalsetele riskirühmadele UKRAINA </t>
  </si>
  <si>
    <t>Arvestusüksus (nimi)</t>
  </si>
  <si>
    <r>
      <t xml:space="preserve">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 </t>
    </r>
  </si>
  <si>
    <t xml:space="preserve">2028 eelarve  </t>
  </si>
  <si>
    <t>08 Tapa spordikeskuse põrand</t>
  </si>
  <si>
    <t>08 Tamsalu ujula akustika rekonstrueerimine</t>
  </si>
  <si>
    <t>08 Tapa linna ujula</t>
  </si>
  <si>
    <t>08 Puhkepargid Tapa linna keskväljaku rekonstrueerimine</t>
  </si>
  <si>
    <t>08 Puhkepargid Tamsalu 100 tamme park</t>
  </si>
  <si>
    <t>08 Puhkepargid Tapa Kiriku- ja Kultuurikoja pargi lasteväljaku uue turvaaluse rajamine</t>
  </si>
  <si>
    <t>08 Puhkepargid pargiinventar</t>
  </si>
  <si>
    <t>08 Muuseumid Porkuni väravatorn</t>
  </si>
  <si>
    <t xml:space="preserve">09 Lasteaed Vikerkaar hoone </t>
  </si>
  <si>
    <t>09 Tamsalu Gümnaasium rattaparkla</t>
  </si>
  <si>
    <t>09 Koolitoit rasvapüüdja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</si>
</sst>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2"/>
      <color theme="1"/>
      <name val="Calibri"/>
      <family val="2"/>
      <charset val="238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i/>
      <sz val="8"/>
      <name val="Arial"/>
      <family val="2"/>
      <charset val="186"/>
    </font>
    <font>
      <b/>
      <i/>
      <sz val="8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theme="1"/>
      <name val="Arial1"/>
      <charset val="186"/>
    </font>
    <font>
      <b/>
      <sz val="10"/>
      <color indexed="10"/>
      <name val="Arial"/>
      <family val="2"/>
      <charset val="186"/>
    </font>
    <font>
      <sz val="8"/>
      <color rgb="FFFF0000"/>
      <name val="Arial"/>
      <family val="2"/>
      <charset val="186"/>
    </font>
    <font>
      <b/>
      <sz val="10"/>
      <color rgb="FF373A3C"/>
      <name val="Arial"/>
      <family val="2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theme="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40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1" fillId="0" borderId="0" xfId="0" applyFont="1" applyAlignment="1">
      <alignment wrapText="1"/>
    </xf>
    <xf numFmtId="0" fontId="7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3" fontId="9" fillId="7" borderId="16" xfId="0" applyNumberFormat="1" applyFont="1" applyFill="1" applyBorder="1" applyAlignment="1">
      <alignment wrapText="1"/>
    </xf>
    <xf numFmtId="3" fontId="9" fillId="7" borderId="17" xfId="0" applyNumberFormat="1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3" fontId="1" fillId="7" borderId="15" xfId="0" applyNumberFormat="1" applyFont="1" applyFill="1" applyBorder="1" applyAlignment="1">
      <alignment wrapText="1"/>
    </xf>
    <xf numFmtId="3" fontId="1" fillId="7" borderId="16" xfId="0" applyNumberFormat="1" applyFont="1" applyFill="1" applyBorder="1" applyAlignment="1">
      <alignment wrapText="1"/>
    </xf>
    <xf numFmtId="0" fontId="10" fillId="8" borderId="4" xfId="0" applyFont="1" applyFill="1" applyBorder="1" applyAlignment="1">
      <alignment horizontal="left"/>
    </xf>
    <xf numFmtId="0" fontId="7" fillId="0" borderId="0" xfId="0" applyFont="1"/>
    <xf numFmtId="0" fontId="7" fillId="10" borderId="5" xfId="0" applyFont="1" applyFill="1" applyBorder="1" applyAlignment="1">
      <alignment horizontal="left"/>
    </xf>
    <xf numFmtId="0" fontId="7" fillId="0" borderId="18" xfId="0" applyFont="1" applyBorder="1" applyAlignment="1">
      <alignment horizontal="left" wrapText="1"/>
    </xf>
    <xf numFmtId="3" fontId="7" fillId="7" borderId="16" xfId="0" applyNumberFormat="1" applyFont="1" applyFill="1" applyBorder="1" applyAlignment="1">
      <alignment wrapText="1"/>
    </xf>
    <xf numFmtId="0" fontId="8" fillId="0" borderId="18" xfId="0" applyFont="1" applyBorder="1" applyAlignment="1">
      <alignment horizontal="left" wrapText="1"/>
    </xf>
    <xf numFmtId="3" fontId="0" fillId="0" borderId="0" xfId="0" applyNumberFormat="1"/>
    <xf numFmtId="49" fontId="10" fillId="0" borderId="18" xfId="0" applyNumberFormat="1" applyFont="1" applyBorder="1" applyAlignment="1">
      <alignment horizontal="left" wrapText="1"/>
    </xf>
    <xf numFmtId="0" fontId="13" fillId="0" borderId="18" xfId="0" applyFont="1" applyBorder="1" applyAlignment="1">
      <alignment horizontal="left" wrapText="1"/>
    </xf>
    <xf numFmtId="0" fontId="8" fillId="0" borderId="18" xfId="1" applyFont="1" applyBorder="1"/>
    <xf numFmtId="9" fontId="0" fillId="0" borderId="0" xfId="0" applyNumberFormat="1"/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3" fontId="7" fillId="7" borderId="15" xfId="0" applyNumberFormat="1" applyFont="1" applyFill="1" applyBorder="1" applyAlignment="1">
      <alignment wrapText="1"/>
    </xf>
    <xf numFmtId="0" fontId="2" fillId="0" borderId="18" xfId="0" applyFont="1" applyBorder="1"/>
    <xf numFmtId="0" fontId="1" fillId="0" borderId="18" xfId="0" applyFont="1" applyBorder="1" applyAlignment="1">
      <alignment wrapText="1"/>
    </xf>
    <xf numFmtId="3" fontId="3" fillId="7" borderId="15" xfId="0" applyNumberFormat="1" applyFont="1" applyFill="1" applyBorder="1" applyAlignment="1">
      <alignment wrapText="1"/>
    </xf>
    <xf numFmtId="3" fontId="3" fillId="7" borderId="16" xfId="0" applyNumberFormat="1" applyFont="1" applyFill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5" xfId="0" applyFont="1" applyBorder="1"/>
    <xf numFmtId="0" fontId="1" fillId="10" borderId="18" xfId="0" applyFont="1" applyFill="1" applyBorder="1"/>
    <xf numFmtId="0" fontId="8" fillId="0" borderId="20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6" fillId="0" borderId="0" xfId="0" applyFont="1" applyAlignment="1">
      <alignment wrapText="1"/>
    </xf>
    <xf numFmtId="0" fontId="3" fillId="0" borderId="15" xfId="0" applyFont="1" applyBorder="1" applyAlignment="1">
      <alignment wrapText="1"/>
    </xf>
    <xf numFmtId="3" fontId="8" fillId="0" borderId="15" xfId="0" applyNumberFormat="1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0" borderId="18" xfId="2" applyFont="1" applyBorder="1"/>
    <xf numFmtId="0" fontId="10" fillId="0" borderId="18" xfId="0" applyFont="1" applyBorder="1" applyAlignment="1">
      <alignment wrapText="1"/>
    </xf>
    <xf numFmtId="0" fontId="7" fillId="6" borderId="18" xfId="0" applyFont="1" applyFill="1" applyBorder="1" applyAlignment="1">
      <alignment wrapText="1"/>
    </xf>
    <xf numFmtId="0" fontId="10" fillId="0" borderId="22" xfId="0" applyFont="1" applyBorder="1" applyAlignment="1">
      <alignment wrapText="1"/>
    </xf>
    <xf numFmtId="0" fontId="1" fillId="0" borderId="15" xfId="0" applyFont="1" applyBorder="1"/>
    <xf numFmtId="0" fontId="1" fillId="0" borderId="18" xfId="2" applyFont="1" applyBorder="1"/>
    <xf numFmtId="0" fontId="1" fillId="0" borderId="18" xfId="3" applyFont="1" applyBorder="1" applyAlignment="1">
      <alignment wrapText="1"/>
    </xf>
    <xf numFmtId="0" fontId="1" fillId="0" borderId="18" xfId="2" applyFont="1" applyBorder="1" applyAlignment="1">
      <alignment wrapText="1"/>
    </xf>
    <xf numFmtId="0" fontId="17" fillId="0" borderId="0" xfId="0" applyFont="1" applyAlignment="1">
      <alignment wrapText="1"/>
    </xf>
    <xf numFmtId="0" fontId="1" fillId="2" borderId="25" xfId="0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8" xfId="0" applyFont="1" applyBorder="1" applyAlignment="1">
      <alignment horizontal="left" vertical="center"/>
    </xf>
    <xf numFmtId="3" fontId="1" fillId="7" borderId="15" xfId="0" applyNumberFormat="1" applyFont="1" applyFill="1" applyBorder="1" applyAlignment="1">
      <alignment horizontal="right" wrapText="1"/>
    </xf>
    <xf numFmtId="3" fontId="1" fillId="7" borderId="16" xfId="0" applyNumberFormat="1" applyFont="1" applyFill="1" applyBorder="1" applyAlignment="1">
      <alignment horizontal="right" wrapText="1"/>
    </xf>
    <xf numFmtId="0" fontId="10" fillId="8" borderId="4" xfId="0" applyFont="1" applyFill="1" applyBorder="1" applyAlignment="1">
      <alignment horizontal="left" vertical="center"/>
    </xf>
    <xf numFmtId="3" fontId="1" fillId="8" borderId="15" xfId="0" applyNumberFormat="1" applyFont="1" applyFill="1" applyBorder="1" applyAlignment="1">
      <alignment wrapText="1"/>
    </xf>
    <xf numFmtId="3" fontId="1" fillId="8" borderId="16" xfId="0" applyNumberFormat="1" applyFont="1" applyFill="1" applyBorder="1" applyAlignment="1">
      <alignment wrapText="1"/>
    </xf>
    <xf numFmtId="0" fontId="0" fillId="0" borderId="18" xfId="0" applyBorder="1"/>
    <xf numFmtId="0" fontId="0" fillId="7" borderId="15" xfId="0" applyFill="1" applyBorder="1"/>
    <xf numFmtId="0" fontId="3" fillId="7" borderId="16" xfId="0" applyFont="1" applyFill="1" applyBorder="1"/>
    <xf numFmtId="3" fontId="1" fillId="7" borderId="15" xfId="0" applyNumberFormat="1" applyFont="1" applyFill="1" applyBorder="1"/>
    <xf numFmtId="3" fontId="7" fillId="7" borderId="16" xfId="0" applyNumberFormat="1" applyFont="1" applyFill="1" applyBorder="1"/>
    <xf numFmtId="0" fontId="1" fillId="0" borderId="18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164" fontId="9" fillId="7" borderId="15" xfId="0" applyNumberFormat="1" applyFont="1" applyFill="1" applyBorder="1" applyAlignment="1">
      <alignment wrapText="1"/>
    </xf>
    <xf numFmtId="164" fontId="3" fillId="7" borderId="16" xfId="0" applyNumberFormat="1" applyFont="1" applyFill="1" applyBorder="1" applyAlignment="1">
      <alignment wrapText="1"/>
    </xf>
    <xf numFmtId="3" fontId="3" fillId="9" borderId="26" xfId="0" applyNumberFormat="1" applyFont="1" applyFill="1" applyBorder="1" applyAlignment="1">
      <alignment wrapText="1"/>
    </xf>
    <xf numFmtId="3" fontId="22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164" fontId="3" fillId="7" borderId="15" xfId="0" applyNumberFormat="1" applyFont="1" applyFill="1" applyBorder="1" applyAlignment="1">
      <alignment wrapText="1"/>
    </xf>
    <xf numFmtId="0" fontId="7" fillId="0" borderId="22" xfId="0" applyFont="1" applyBorder="1" applyAlignment="1">
      <alignment wrapText="1"/>
    </xf>
    <xf numFmtId="3" fontId="3" fillId="7" borderId="23" xfId="0" applyNumberFormat="1" applyFont="1" applyFill="1" applyBorder="1" applyAlignment="1">
      <alignment wrapText="1"/>
    </xf>
    <xf numFmtId="3" fontId="3" fillId="7" borderId="24" xfId="0" applyNumberFormat="1" applyFont="1" applyFill="1" applyBorder="1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3" fontId="1" fillId="7" borderId="13" xfId="0" applyNumberFormat="1" applyFont="1" applyFill="1" applyBorder="1" applyAlignment="1">
      <alignment horizontal="center" wrapText="1"/>
    </xf>
    <xf numFmtId="3" fontId="1" fillId="7" borderId="14" xfId="0" applyNumberFormat="1" applyFont="1" applyFill="1" applyBorder="1" applyAlignment="1">
      <alignment horizontal="center" wrapText="1"/>
    </xf>
    <xf numFmtId="3" fontId="9" fillId="7" borderId="15" xfId="0" applyNumberFormat="1" applyFont="1" applyFill="1" applyBorder="1" applyAlignment="1">
      <alignment horizontal="center" wrapText="1"/>
    </xf>
    <xf numFmtId="3" fontId="9" fillId="7" borderId="16" xfId="0" applyNumberFormat="1" applyFont="1" applyFill="1" applyBorder="1" applyAlignment="1">
      <alignment horizontal="center" wrapText="1"/>
    </xf>
    <xf numFmtId="3" fontId="3" fillId="4" borderId="17" xfId="0" applyNumberFormat="1" applyFont="1" applyFill="1" applyBorder="1" applyAlignment="1">
      <alignment horizontal="center" wrapText="1"/>
    </xf>
    <xf numFmtId="3" fontId="3" fillId="0" borderId="1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9" fillId="4" borderId="17" xfId="0" applyNumberFormat="1" applyFont="1" applyFill="1" applyBorder="1" applyAlignment="1">
      <alignment horizontal="center" wrapText="1"/>
    </xf>
    <xf numFmtId="3" fontId="9" fillId="7" borderId="17" xfId="0" applyNumberFormat="1" applyFont="1" applyFill="1" applyBorder="1" applyAlignment="1">
      <alignment horizontal="center" wrapText="1"/>
    </xf>
    <xf numFmtId="3" fontId="3" fillId="3" borderId="15" xfId="0" applyNumberFormat="1" applyFont="1" applyFill="1" applyBorder="1" applyAlignment="1">
      <alignment horizontal="center"/>
    </xf>
    <xf numFmtId="3" fontId="1" fillId="7" borderId="17" xfId="0" applyNumberFormat="1" applyFont="1" applyFill="1" applyBorder="1" applyAlignment="1">
      <alignment horizontal="center" wrapText="1"/>
    </xf>
    <xf numFmtId="3" fontId="1" fillId="7" borderId="15" xfId="0" applyNumberFormat="1" applyFont="1" applyFill="1" applyBorder="1" applyAlignment="1">
      <alignment horizontal="center" wrapText="1"/>
    </xf>
    <xf numFmtId="3" fontId="1" fillId="7" borderId="16" xfId="0" applyNumberFormat="1" applyFont="1" applyFill="1" applyBorder="1" applyAlignment="1">
      <alignment horizontal="center" wrapText="1"/>
    </xf>
    <xf numFmtId="3" fontId="9" fillId="9" borderId="17" xfId="0" applyNumberFormat="1" applyFont="1" applyFill="1" applyBorder="1" applyAlignment="1">
      <alignment horizontal="center" wrapText="1"/>
    </xf>
    <xf numFmtId="3" fontId="9" fillId="9" borderId="16" xfId="0" applyNumberFormat="1" applyFont="1" applyFill="1" applyBorder="1" applyAlignment="1">
      <alignment horizontal="center" wrapText="1"/>
    </xf>
    <xf numFmtId="3" fontId="9" fillId="8" borderId="17" xfId="0" applyNumberFormat="1" applyFont="1" applyFill="1" applyBorder="1" applyAlignment="1">
      <alignment horizontal="center" wrapText="1"/>
    </xf>
    <xf numFmtId="3" fontId="3" fillId="8" borderId="15" xfId="0" applyNumberFormat="1" applyFont="1" applyFill="1" applyBorder="1" applyAlignment="1">
      <alignment horizontal="center"/>
    </xf>
    <xf numFmtId="3" fontId="3" fillId="8" borderId="16" xfId="0" applyNumberFormat="1" applyFont="1" applyFill="1" applyBorder="1" applyAlignment="1">
      <alignment horizontal="center"/>
    </xf>
    <xf numFmtId="3" fontId="7" fillId="10" borderId="17" xfId="0" applyNumberFormat="1" applyFont="1" applyFill="1" applyBorder="1" applyAlignment="1">
      <alignment horizontal="center" wrapText="1"/>
    </xf>
    <xf numFmtId="3" fontId="7" fillId="10" borderId="15" xfId="0" applyNumberFormat="1" applyFont="1" applyFill="1" applyBorder="1" applyAlignment="1">
      <alignment horizontal="center" wrapText="1"/>
    </xf>
    <xf numFmtId="3" fontId="7" fillId="10" borderId="16" xfId="0" applyNumberFormat="1" applyFont="1" applyFill="1" applyBorder="1" applyAlignment="1">
      <alignment horizontal="center" wrapText="1"/>
    </xf>
    <xf numFmtId="3" fontId="7" fillId="7" borderId="17" xfId="0" applyNumberFormat="1" applyFont="1" applyFill="1" applyBorder="1" applyAlignment="1">
      <alignment horizontal="center" wrapText="1"/>
    </xf>
    <xf numFmtId="3" fontId="7" fillId="7" borderId="16" xfId="0" applyNumberFormat="1" applyFont="1" applyFill="1" applyBorder="1" applyAlignment="1">
      <alignment horizontal="center" wrapText="1"/>
    </xf>
    <xf numFmtId="3" fontId="9" fillId="5" borderId="17" xfId="0" applyNumberFormat="1" applyFont="1" applyFill="1" applyBorder="1" applyAlignment="1">
      <alignment horizontal="center" wrapText="1"/>
    </xf>
    <xf numFmtId="3" fontId="3" fillId="11" borderId="15" xfId="0" applyNumberFormat="1" applyFont="1" applyFill="1" applyBorder="1" applyAlignment="1">
      <alignment horizontal="center"/>
    </xf>
    <xf numFmtId="3" fontId="3" fillId="11" borderId="16" xfId="0" applyNumberFormat="1" applyFont="1" applyFill="1" applyBorder="1" applyAlignment="1">
      <alignment horizontal="center"/>
    </xf>
    <xf numFmtId="3" fontId="3" fillId="5" borderId="15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9" fillId="4" borderId="19" xfId="0" applyNumberFormat="1" applyFont="1" applyFill="1" applyBorder="1" applyAlignment="1">
      <alignment horizontal="center" wrapText="1"/>
    </xf>
    <xf numFmtId="3" fontId="4" fillId="0" borderId="15" xfId="1" applyNumberFormat="1" applyBorder="1" applyAlignment="1">
      <alignment horizontal="center"/>
    </xf>
    <xf numFmtId="3" fontId="9" fillId="4" borderId="7" xfId="0" applyNumberFormat="1" applyFont="1" applyFill="1" applyBorder="1" applyAlignment="1">
      <alignment horizontal="center" wrapText="1"/>
    </xf>
    <xf numFmtId="3" fontId="7" fillId="7" borderId="15" xfId="0" applyNumberFormat="1" applyFont="1" applyFill="1" applyBorder="1" applyAlignment="1">
      <alignment horizontal="center" wrapText="1"/>
    </xf>
    <xf numFmtId="3" fontId="3" fillId="7" borderId="15" xfId="0" applyNumberFormat="1" applyFont="1" applyFill="1" applyBorder="1" applyAlignment="1">
      <alignment horizontal="center" wrapText="1"/>
    </xf>
    <xf numFmtId="3" fontId="3" fillId="7" borderId="16" xfId="0" applyNumberFormat="1" applyFont="1" applyFill="1" applyBorder="1" applyAlignment="1">
      <alignment horizontal="center" wrapText="1"/>
    </xf>
    <xf numFmtId="3" fontId="14" fillId="0" borderId="8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1" fillId="10" borderId="17" xfId="0" applyNumberFormat="1" applyFont="1" applyFill="1" applyBorder="1" applyAlignment="1">
      <alignment horizontal="center" wrapText="1"/>
    </xf>
    <xf numFmtId="3" fontId="7" fillId="10" borderId="15" xfId="0" applyNumberFormat="1" applyFont="1" applyFill="1" applyBorder="1" applyAlignment="1">
      <alignment horizontal="center"/>
    </xf>
    <xf numFmtId="3" fontId="7" fillId="10" borderId="16" xfId="0" applyNumberFormat="1" applyFont="1" applyFill="1" applyBorder="1" applyAlignment="1">
      <alignment horizontal="center"/>
    </xf>
    <xf numFmtId="3" fontId="3" fillId="5" borderId="10" xfId="0" applyNumberFormat="1" applyFont="1" applyFill="1" applyBorder="1" applyAlignment="1">
      <alignment horizontal="center"/>
    </xf>
    <xf numFmtId="3" fontId="3" fillId="5" borderId="16" xfId="0" applyNumberFormat="1" applyFont="1" applyFill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164" fontId="2" fillId="7" borderId="17" xfId="0" applyNumberFormat="1" applyFont="1" applyFill="1" applyBorder="1" applyAlignment="1">
      <alignment horizontal="center" wrapText="1"/>
    </xf>
    <xf numFmtId="164" fontId="2" fillId="7" borderId="15" xfId="0" applyNumberFormat="1" applyFont="1" applyFill="1" applyBorder="1" applyAlignment="1">
      <alignment horizontal="center" wrapText="1"/>
    </xf>
    <xf numFmtId="164" fontId="2" fillId="7" borderId="16" xfId="0" applyNumberFormat="1" applyFont="1" applyFill="1" applyBorder="1" applyAlignment="1">
      <alignment horizontal="center" wrapText="1"/>
    </xf>
    <xf numFmtId="10" fontId="9" fillId="0" borderId="17" xfId="0" applyNumberFormat="1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15" fillId="7" borderId="23" xfId="0" applyNumberFormat="1" applyFont="1" applyFill="1" applyBorder="1" applyAlignment="1">
      <alignment horizontal="center" wrapText="1"/>
    </xf>
    <xf numFmtId="3" fontId="15" fillId="7" borderId="24" xfId="0" applyNumberFormat="1" applyFont="1" applyFill="1" applyBorder="1" applyAlignment="1">
      <alignment horizontal="center" wrapText="1"/>
    </xf>
    <xf numFmtId="3" fontId="16" fillId="0" borderId="0" xfId="0" applyNumberFormat="1" applyFont="1" applyAlignment="1">
      <alignment horizontal="center" wrapText="1"/>
    </xf>
    <xf numFmtId="9" fontId="8" fillId="0" borderId="15" xfId="0" applyNumberFormat="1" applyFont="1" applyBorder="1" applyAlignment="1">
      <alignment horizontal="center" wrapText="1"/>
    </xf>
    <xf numFmtId="4" fontId="8" fillId="0" borderId="1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3" fontId="7" fillId="4" borderId="15" xfId="0" applyNumberFormat="1" applyFont="1" applyFill="1" applyBorder="1" applyAlignment="1">
      <alignment horizontal="center"/>
    </xf>
    <xf numFmtId="3" fontId="7" fillId="4" borderId="16" xfId="0" applyNumberFormat="1" applyFont="1" applyFill="1" applyBorder="1" applyAlignment="1">
      <alignment horizontal="center"/>
    </xf>
    <xf numFmtId="3" fontId="7" fillId="6" borderId="15" xfId="0" applyNumberFormat="1" applyFont="1" applyFill="1" applyBorder="1" applyAlignment="1">
      <alignment horizontal="center"/>
    </xf>
    <xf numFmtId="3" fontId="7" fillId="6" borderId="16" xfId="0" applyNumberFormat="1" applyFont="1" applyFill="1" applyBorder="1" applyAlignment="1">
      <alignment horizontal="center"/>
    </xf>
    <xf numFmtId="3" fontId="3" fillId="4" borderId="23" xfId="0" applyNumberFormat="1" applyFont="1" applyFill="1" applyBorder="1" applyAlignment="1">
      <alignment horizontal="center"/>
    </xf>
    <xf numFmtId="3" fontId="3" fillId="5" borderId="23" xfId="0" applyNumberFormat="1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3" borderId="15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340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Normal" xfId="0" builtinId="0"/>
    <cellStyle name="Normal 18" xfId="3" xr:uid="{00000000-0005-0000-0000-000051010000}"/>
    <cellStyle name="Normal_Sheet1" xfId="1" xr:uid="{00000000-0005-0000-0000-000052010000}"/>
    <cellStyle name="Normal_Sheet1 2" xfId="2" xr:uid="{00000000-0005-0000-0000-00005301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apavv-my.sharepoint.com/personal/marko_teiva_tapa_ee/Documents/T&#246;&#246;laud/Arenegukava/2023/15.01.2024/EA%20strateegia%20vorm%20selgitustega%202024%20Helen%20jaanuar.xls" TargetMode="External"/><Relationship Id="rId1" Type="http://schemas.openxmlformats.org/officeDocument/2006/relationships/externalLinkPath" Target="EA%20strateegia%20vorm%20selgitustega%202024%20Helen%20jaanu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elarvearuanne"/>
      <sheetName val="Strateegia vorm KOV"/>
      <sheetName val="Strateegia vorm valdkonniti"/>
      <sheetName val="Strateegia vorm sõltuv üksus"/>
      <sheetName val="Strateegia vorm arvestusüksus"/>
      <sheetName val="laenud"/>
      <sheetName val="Tulubaas"/>
      <sheetName val="elanike koosseus"/>
    </sheetNames>
    <sheetDataSet>
      <sheetData sheetId="0">
        <row r="7">
          <cell r="D7">
            <v>9996000</v>
          </cell>
          <cell r="H7">
            <v>9371419.7000000011</v>
          </cell>
        </row>
        <row r="8">
          <cell r="D8">
            <v>9700000</v>
          </cell>
          <cell r="H8">
            <v>9083905.9700000007</v>
          </cell>
        </row>
        <row r="9">
          <cell r="D9">
            <v>295000</v>
          </cell>
          <cell r="H9">
            <v>287145.23</v>
          </cell>
        </row>
        <row r="14">
          <cell r="D14">
            <v>1232635</v>
          </cell>
          <cell r="H14">
            <v>1051535.44</v>
          </cell>
        </row>
        <row r="16">
          <cell r="D16">
            <v>2110280</v>
          </cell>
          <cell r="H16">
            <v>1933180</v>
          </cell>
        </row>
        <row r="17">
          <cell r="D17">
            <v>6343313</v>
          </cell>
          <cell r="H17">
            <v>5119338</v>
          </cell>
        </row>
        <row r="18">
          <cell r="D18">
            <v>421728</v>
          </cell>
          <cell r="H18">
            <v>1116173.95</v>
          </cell>
        </row>
        <row r="19">
          <cell r="D19">
            <v>101500</v>
          </cell>
          <cell r="H19">
            <v>168964.65</v>
          </cell>
        </row>
        <row r="25">
          <cell r="D25">
            <v>-1396684</v>
          </cell>
          <cell r="H25">
            <v>-907407.54</v>
          </cell>
        </row>
        <row r="31">
          <cell r="D31">
            <v>-12594898</v>
          </cell>
          <cell r="H31">
            <v>-10381410.18</v>
          </cell>
        </row>
        <row r="32">
          <cell r="D32">
            <v>-5732340</v>
          </cell>
          <cell r="H32">
            <v>-5995903.5899999999</v>
          </cell>
        </row>
        <row r="33">
          <cell r="D33">
            <v>-48434</v>
          </cell>
          <cell r="H33">
            <v>-709.51</v>
          </cell>
        </row>
        <row r="36">
          <cell r="D36">
            <v>300000</v>
          </cell>
          <cell r="H36">
            <v>17588.43</v>
          </cell>
        </row>
        <row r="37">
          <cell r="D37">
            <v>-1774060</v>
          </cell>
          <cell r="H37">
            <v>-1886638.61</v>
          </cell>
        </row>
        <row r="38">
          <cell r="D38">
            <v>400669</v>
          </cell>
          <cell r="H38">
            <v>884545.83</v>
          </cell>
        </row>
        <row r="39">
          <cell r="D39">
            <v>-71885</v>
          </cell>
          <cell r="H39">
            <v>-114287.76</v>
          </cell>
        </row>
        <row r="44">
          <cell r="D44">
            <v>72900</v>
          </cell>
          <cell r="H44">
            <v>72900</v>
          </cell>
        </row>
        <row r="46">
          <cell r="D46">
            <v>8000</v>
          </cell>
          <cell r="H46">
            <v>1252.7</v>
          </cell>
        </row>
        <row r="47">
          <cell r="D47">
            <v>-405000</v>
          </cell>
          <cell r="H47">
            <v>-129085.54</v>
          </cell>
        </row>
        <row r="50">
          <cell r="D50">
            <v>1200000</v>
          </cell>
          <cell r="H50">
            <v>1934120</v>
          </cell>
        </row>
        <row r="51">
          <cell r="D51">
            <v>-1674520</v>
          </cell>
          <cell r="H51">
            <v>-1479615.84</v>
          </cell>
        </row>
        <row r="52">
          <cell r="D52">
            <v>-1182660</v>
          </cell>
          <cell r="H52">
            <v>-22624.97</v>
          </cell>
        </row>
        <row r="53">
          <cell r="D53">
            <v>328136</v>
          </cell>
          <cell r="H53">
            <v>-798585.1</v>
          </cell>
        </row>
        <row r="156">
          <cell r="H156">
            <v>10438774.32</v>
          </cell>
        </row>
        <row r="158">
          <cell r="H158">
            <v>1607486.02</v>
          </cell>
        </row>
      </sheetData>
      <sheetData sheetId="1">
        <row r="2">
          <cell r="B2">
            <v>18760611.739999998</v>
          </cell>
          <cell r="C2">
            <v>20205456</v>
          </cell>
          <cell r="D2">
            <v>22173625</v>
          </cell>
          <cell r="E2">
            <v>21886635</v>
          </cell>
          <cell r="F2">
            <v>22486635</v>
          </cell>
          <cell r="G2">
            <v>23036635</v>
          </cell>
        </row>
        <row r="13">
          <cell r="B13">
            <v>17285430.82</v>
          </cell>
          <cell r="C13">
            <v>19772356</v>
          </cell>
          <cell r="D13">
            <v>20155017</v>
          </cell>
          <cell r="E13">
            <v>19970737.5</v>
          </cell>
          <cell r="F13">
            <v>20343152.25</v>
          </cell>
          <cell r="G13">
            <v>20723015.295000002</v>
          </cell>
        </row>
        <row r="21">
          <cell r="B21">
            <v>-1153724.9500000002</v>
          </cell>
          <cell r="C21">
            <v>-1469376</v>
          </cell>
          <cell r="D21">
            <v>-1048105.6</v>
          </cell>
          <cell r="E21">
            <v>-2323578.3328</v>
          </cell>
          <cell r="F21">
            <v>-2400942.6528000003</v>
          </cell>
          <cell r="G21">
            <v>-1025544.5728</v>
          </cell>
        </row>
        <row r="29">
          <cell r="B29">
            <v>72900</v>
          </cell>
          <cell r="C29">
            <v>72900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</row>
        <row r="34">
          <cell r="B34">
            <v>454504.15999999992</v>
          </cell>
          <cell r="C34">
            <v>-474520</v>
          </cell>
          <cell r="D34">
            <v>-962296</v>
          </cell>
          <cell r="E34">
            <v>684108</v>
          </cell>
          <cell r="F34">
            <v>490048</v>
          </cell>
          <cell r="G34">
            <v>-1309952</v>
          </cell>
        </row>
        <row r="37">
          <cell r="B37">
            <v>-22624.97</v>
          </cell>
          <cell r="C37">
            <v>-1182660</v>
          </cell>
          <cell r="D37">
            <v>-319929.59999999998</v>
          </cell>
          <cell r="E37">
            <v>276427.16720000003</v>
          </cell>
          <cell r="F37">
            <v>232588.09719999973</v>
          </cell>
          <cell r="G37">
            <v>-21876.867800001753</v>
          </cell>
        </row>
        <row r="41">
          <cell r="B41">
            <v>1607486.02</v>
          </cell>
        </row>
        <row r="42">
          <cell r="B42">
            <v>10438774.32</v>
          </cell>
          <cell r="C42">
            <v>9964254.3200000003</v>
          </cell>
          <cell r="D42">
            <v>9001958.3200000003</v>
          </cell>
          <cell r="E42">
            <v>9686066.3200000003</v>
          </cell>
          <cell r="F42">
            <v>10176114.32</v>
          </cell>
          <cell r="G42">
            <v>8866162.3200000003</v>
          </cell>
        </row>
        <row r="44">
          <cell r="B44">
            <v>0</v>
          </cell>
          <cell r="C44">
            <v>0</v>
          </cell>
        </row>
      </sheetData>
      <sheetData sheetId="2"/>
      <sheetData sheetId="3">
        <row r="242">
          <cell r="B242">
            <v>483003</v>
          </cell>
          <cell r="C242">
            <v>526900</v>
          </cell>
          <cell r="D242">
            <v>600666</v>
          </cell>
          <cell r="E242">
            <v>684759</v>
          </cell>
          <cell r="F242">
            <v>780626</v>
          </cell>
          <cell r="G242">
            <v>889914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B245">
            <v>481267</v>
          </cell>
          <cell r="C245">
            <v>502000</v>
          </cell>
          <cell r="D245">
            <v>592360</v>
          </cell>
          <cell r="E245">
            <v>698985</v>
          </cell>
          <cell r="F245">
            <v>780000</v>
          </cell>
          <cell r="G245">
            <v>888000</v>
          </cell>
        </row>
        <row r="246">
          <cell r="B246">
            <v>8915</v>
          </cell>
          <cell r="C246">
            <v>9000</v>
          </cell>
          <cell r="D246">
            <v>9000</v>
          </cell>
          <cell r="E246">
            <v>9000</v>
          </cell>
          <cell r="F246">
            <v>9000</v>
          </cell>
          <cell r="G246">
            <v>9000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B252">
            <v>1804</v>
          </cell>
          <cell r="C252">
            <v>15000</v>
          </cell>
          <cell r="D252">
            <v>5000</v>
          </cell>
          <cell r="E252">
            <v>-5000</v>
          </cell>
          <cell r="F252">
            <v>1000</v>
          </cell>
          <cell r="G252">
            <v>9000</v>
          </cell>
        </row>
        <row r="255">
          <cell r="B255">
            <v>58512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</sheetData>
      <sheetData sheetId="4"/>
      <sheetData sheetId="5">
        <row r="41">
          <cell r="E41">
            <v>1362296</v>
          </cell>
          <cell r="F41">
            <v>1315892</v>
          </cell>
          <cell r="G41">
            <v>1509952</v>
          </cell>
          <cell r="H41">
            <v>1709952</v>
          </cell>
          <cell r="I41">
            <v>1649957</v>
          </cell>
        </row>
        <row r="45">
          <cell r="F45">
            <v>360078.33280000003</v>
          </cell>
          <cell r="G45">
            <v>387442.65280000004</v>
          </cell>
          <cell r="H45">
            <v>407044.57280000002</v>
          </cell>
          <cell r="I45">
            <v>265984.86959999998</v>
          </cell>
        </row>
      </sheetData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F517-D1EF-45FD-8713-AEEBF7DBAEAF}">
  <dimension ref="A1:I176"/>
  <sheetViews>
    <sheetView tabSelected="1" topLeftCell="A141" workbookViewId="0">
      <selection activeCell="B189" sqref="B189"/>
    </sheetView>
  </sheetViews>
  <sheetFormatPr defaultRowHeight="15.75"/>
  <cols>
    <col min="1" max="1" width="42.75" customWidth="1"/>
    <col min="2" max="2" width="9" style="132"/>
    <col min="3" max="3" width="10.75" style="132" customWidth="1"/>
    <col min="4" max="4" width="8.875" style="132" customWidth="1"/>
    <col min="5" max="5" width="9.375" style="132" customWidth="1"/>
    <col min="6" max="6" width="10.375" style="132" customWidth="1"/>
    <col min="7" max="7" width="10.25" style="132" customWidth="1"/>
    <col min="8" max="8" width="10.375" style="132" customWidth="1"/>
    <col min="9" max="9" width="9.5" bestFit="1" customWidth="1"/>
  </cols>
  <sheetData>
    <row r="1" spans="1:8" ht="39" thickBot="1">
      <c r="A1" s="74" t="s">
        <v>79</v>
      </c>
      <c r="B1" s="75" t="s">
        <v>80</v>
      </c>
      <c r="C1" s="75" t="s">
        <v>81</v>
      </c>
      <c r="D1" s="75" t="s">
        <v>0</v>
      </c>
      <c r="E1" s="75" t="s">
        <v>1</v>
      </c>
      <c r="F1" s="75" t="s">
        <v>2</v>
      </c>
      <c r="G1" s="76" t="s">
        <v>82</v>
      </c>
      <c r="H1" s="76" t="s">
        <v>102</v>
      </c>
    </row>
    <row r="2" spans="1:8">
      <c r="A2" s="3" t="s">
        <v>3</v>
      </c>
      <c r="B2" s="77">
        <f t="shared" ref="B2:G2" si="0">B3+B7+B8+B12</f>
        <v>18760611.739999998</v>
      </c>
      <c r="C2" s="77">
        <f t="shared" si="0"/>
        <v>20205456</v>
      </c>
      <c r="D2" s="77">
        <f t="shared" si="0"/>
        <v>22173625</v>
      </c>
      <c r="E2" s="77">
        <f t="shared" si="0"/>
        <v>21886635</v>
      </c>
      <c r="F2" s="77">
        <f t="shared" si="0"/>
        <v>22486635</v>
      </c>
      <c r="G2" s="78">
        <f t="shared" si="0"/>
        <v>23036635</v>
      </c>
      <c r="H2" s="78">
        <f>H3+H7+H8+H12</f>
        <v>23536635</v>
      </c>
    </row>
    <row r="3" spans="1:8">
      <c r="A3" s="4" t="s">
        <v>4</v>
      </c>
      <c r="B3" s="79">
        <f t="shared" ref="B3:G3" si="1">SUM(B4:B6)</f>
        <v>9371419.7000000011</v>
      </c>
      <c r="C3" s="79">
        <f t="shared" si="1"/>
        <v>9996000</v>
      </c>
      <c r="D3" s="79">
        <f t="shared" si="1"/>
        <v>11006000</v>
      </c>
      <c r="E3" s="79">
        <f t="shared" si="1"/>
        <v>11511000</v>
      </c>
      <c r="F3" s="79">
        <f t="shared" si="1"/>
        <v>12061000</v>
      </c>
      <c r="G3" s="80">
        <f t="shared" si="1"/>
        <v>12561000</v>
      </c>
      <c r="H3" s="80">
        <f>SUM(H4:H6)</f>
        <v>13061000</v>
      </c>
    </row>
    <row r="4" spans="1:8">
      <c r="A4" s="4" t="s">
        <v>5</v>
      </c>
      <c r="B4" s="81">
        <f>[1]Eelarvearuanne!H8</f>
        <v>9083905.9700000007</v>
      </c>
      <c r="C4" s="81">
        <f>[1]Eelarvearuanne!D8</f>
        <v>9700000</v>
      </c>
      <c r="D4" s="82">
        <v>10710000</v>
      </c>
      <c r="E4" s="82">
        <f>D4+500000</f>
        <v>11210000</v>
      </c>
      <c r="F4" s="82">
        <f>E4+500000</f>
        <v>11710000</v>
      </c>
      <c r="G4" s="83">
        <f>F4+500000</f>
        <v>12210000</v>
      </c>
      <c r="H4" s="83">
        <f>G4+500000</f>
        <v>12710000</v>
      </c>
    </row>
    <row r="5" spans="1:8">
      <c r="A5" s="4" t="s">
        <v>6</v>
      </c>
      <c r="B5" s="81">
        <f>[1]Eelarvearuanne!H9</f>
        <v>287145.23</v>
      </c>
      <c r="C5" s="81">
        <f>[1]Eelarvearuanne!D9</f>
        <v>295000</v>
      </c>
      <c r="D5" s="82">
        <v>295000</v>
      </c>
      <c r="E5" s="82">
        <v>300000</v>
      </c>
      <c r="F5" s="82">
        <v>350000</v>
      </c>
      <c r="G5" s="83">
        <v>350000</v>
      </c>
      <c r="H5" s="83">
        <v>350000</v>
      </c>
    </row>
    <row r="6" spans="1:8">
      <c r="A6" s="4" t="s">
        <v>7</v>
      </c>
      <c r="B6" s="81">
        <f>[1]Eelarvearuanne!H7-[1]Eelarvearuanne!H8-[1]Eelarvearuanne!H9</f>
        <v>368.50000000046566</v>
      </c>
      <c r="C6" s="81">
        <f>[1]Eelarvearuanne!D7-[1]Eelarvearuanne!D8-[1]Eelarvearuanne!D9</f>
        <v>1000</v>
      </c>
      <c r="D6" s="82">
        <v>1000</v>
      </c>
      <c r="E6" s="82">
        <v>1000</v>
      </c>
      <c r="F6" s="82">
        <v>1000</v>
      </c>
      <c r="G6" s="83">
        <v>1000</v>
      </c>
      <c r="H6" s="83">
        <v>1000</v>
      </c>
    </row>
    <row r="7" spans="1:8">
      <c r="A7" s="4" t="s">
        <v>8</v>
      </c>
      <c r="B7" s="84">
        <f>[1]Eelarvearuanne!H14</f>
        <v>1051535.44</v>
      </c>
      <c r="C7" s="84">
        <f>[1]Eelarvearuanne!D14</f>
        <v>1232635</v>
      </c>
      <c r="D7" s="82">
        <v>1414368</v>
      </c>
      <c r="E7" s="82">
        <v>1250000</v>
      </c>
      <c r="F7" s="82">
        <v>1300000</v>
      </c>
      <c r="G7" s="82">
        <v>1350000</v>
      </c>
      <c r="H7" s="82">
        <v>1350000</v>
      </c>
    </row>
    <row r="8" spans="1:8">
      <c r="A8" s="4" t="s">
        <v>9</v>
      </c>
      <c r="B8" s="85">
        <f>SUM(B9:B11)</f>
        <v>8168691.9500000002</v>
      </c>
      <c r="C8" s="79">
        <f>SUM(C9:C11)</f>
        <v>8875321</v>
      </c>
      <c r="D8" s="79">
        <f>SUM(D9:D12)</f>
        <v>9658257</v>
      </c>
      <c r="E8" s="79">
        <f>SUM(E9:E12)</f>
        <v>9025635</v>
      </c>
      <c r="F8" s="79">
        <f>SUM(F9:F12)</f>
        <v>9025635</v>
      </c>
      <c r="G8" s="79">
        <f>SUM(G9:G12)</f>
        <v>9025635</v>
      </c>
      <c r="H8" s="79">
        <f>SUM(H9:H12)</f>
        <v>9025635</v>
      </c>
    </row>
    <row r="9" spans="1:8">
      <c r="A9" s="4" t="s">
        <v>10</v>
      </c>
      <c r="B9" s="84">
        <f>[1]Eelarvearuanne!H16</f>
        <v>1933180</v>
      </c>
      <c r="C9" s="84">
        <f>[1]Eelarvearuanne!D16</f>
        <v>2110280</v>
      </c>
      <c r="D9" s="86">
        <v>3143782</v>
      </c>
      <c r="E9" s="82">
        <v>2842000</v>
      </c>
      <c r="F9" s="82">
        <v>2842000</v>
      </c>
      <c r="G9" s="82">
        <v>2842000</v>
      </c>
      <c r="H9" s="82">
        <v>2842000</v>
      </c>
    </row>
    <row r="10" spans="1:8">
      <c r="A10" s="4" t="s">
        <v>11</v>
      </c>
      <c r="B10" s="84">
        <f>[1]Eelarvearuanne!H17</f>
        <v>5119338</v>
      </c>
      <c r="C10" s="84">
        <f>[1]Eelarvearuanne!D17</f>
        <v>6343313</v>
      </c>
      <c r="D10" s="86">
        <v>5683635</v>
      </c>
      <c r="E10" s="82">
        <f>D10</f>
        <v>5683635</v>
      </c>
      <c r="F10" s="82">
        <f>E10</f>
        <v>5683635</v>
      </c>
      <c r="G10" s="82">
        <f>F10</f>
        <v>5683635</v>
      </c>
      <c r="H10" s="82">
        <f>G10</f>
        <v>5683635</v>
      </c>
    </row>
    <row r="11" spans="1:8">
      <c r="A11" s="4" t="s">
        <v>12</v>
      </c>
      <c r="B11" s="84">
        <f>[1]Eelarvearuanne!H18</f>
        <v>1116173.95</v>
      </c>
      <c r="C11" s="84">
        <f>[1]Eelarvearuanne!D18</f>
        <v>421728</v>
      </c>
      <c r="D11" s="82">
        <v>735840</v>
      </c>
      <c r="E11" s="82">
        <v>400000</v>
      </c>
      <c r="F11" s="82">
        <v>400000</v>
      </c>
      <c r="G11" s="82">
        <v>400000</v>
      </c>
      <c r="H11" s="82">
        <v>400000</v>
      </c>
    </row>
    <row r="12" spans="1:8">
      <c r="A12" s="4" t="s">
        <v>13</v>
      </c>
      <c r="B12" s="84">
        <f>[1]Eelarvearuanne!H19</f>
        <v>168964.65</v>
      </c>
      <c r="C12" s="84">
        <f>[1]Eelarvearuanne!D19</f>
        <v>101500</v>
      </c>
      <c r="D12" s="82">
        <v>95000</v>
      </c>
      <c r="E12" s="82">
        <v>100000</v>
      </c>
      <c r="F12" s="82">
        <v>100000</v>
      </c>
      <c r="G12" s="82">
        <v>100000</v>
      </c>
      <c r="H12" s="82">
        <v>100000</v>
      </c>
    </row>
    <row r="13" spans="1:8">
      <c r="A13" s="7" t="s">
        <v>14</v>
      </c>
      <c r="B13" s="87">
        <f t="shared" ref="B13:G13" si="2">SUM(B14:B15)</f>
        <v>17285430.82</v>
      </c>
      <c r="C13" s="87">
        <f>C14+C15</f>
        <v>19772356</v>
      </c>
      <c r="D13" s="88">
        <f t="shared" si="2"/>
        <v>20155017</v>
      </c>
      <c r="E13" s="88">
        <f t="shared" si="2"/>
        <v>19970737.5</v>
      </c>
      <c r="F13" s="88">
        <f t="shared" si="2"/>
        <v>20343152.25</v>
      </c>
      <c r="G13" s="89">
        <f t="shared" si="2"/>
        <v>20723015.295000002</v>
      </c>
      <c r="H13" s="89">
        <f>SUM(H14:H15)</f>
        <v>21110475.600900002</v>
      </c>
    </row>
    <row r="14" spans="1:8">
      <c r="A14" s="4" t="s">
        <v>15</v>
      </c>
      <c r="B14" s="84">
        <f>-[1]Eelarvearuanne!H25</f>
        <v>907407.54</v>
      </c>
      <c r="C14" s="84">
        <f>-[1]Eelarvearuanne!D25</f>
        <v>1396684</v>
      </c>
      <c r="D14" s="82">
        <v>1818992</v>
      </c>
      <c r="E14" s="82">
        <v>1300000</v>
      </c>
      <c r="F14" s="82">
        <v>1300000</v>
      </c>
      <c r="G14" s="82">
        <v>1300000</v>
      </c>
      <c r="H14" s="82">
        <v>1300000</v>
      </c>
    </row>
    <row r="15" spans="1:8">
      <c r="A15" s="4" t="s">
        <v>16</v>
      </c>
      <c r="B15" s="85">
        <f t="shared" ref="B15:G15" si="3">B16+B17+B19</f>
        <v>16378023.279999999</v>
      </c>
      <c r="C15" s="85">
        <f t="shared" si="3"/>
        <v>18375672</v>
      </c>
      <c r="D15" s="90">
        <f t="shared" si="3"/>
        <v>18336025</v>
      </c>
      <c r="E15" s="90">
        <f t="shared" si="3"/>
        <v>18670737.5</v>
      </c>
      <c r="F15" s="90">
        <f t="shared" si="3"/>
        <v>19043152.25</v>
      </c>
      <c r="G15" s="91">
        <f t="shared" si="3"/>
        <v>19423015.295000002</v>
      </c>
      <c r="H15" s="91">
        <f>H16+H17+H19</f>
        <v>19810475.600900002</v>
      </c>
    </row>
    <row r="16" spans="1:8">
      <c r="A16" s="4" t="s">
        <v>17</v>
      </c>
      <c r="B16" s="84">
        <f>-[1]Eelarvearuanne!H31</f>
        <v>10381410.18</v>
      </c>
      <c r="C16" s="84">
        <f>-[1]Eelarvearuanne!D31</f>
        <v>12594898</v>
      </c>
      <c r="D16" s="82">
        <v>12412269</v>
      </c>
      <c r="E16" s="82">
        <f t="shared" ref="E16:H17" si="4">D16*1.02</f>
        <v>12660514.380000001</v>
      </c>
      <c r="F16" s="82">
        <f t="shared" si="4"/>
        <v>12913724.6676</v>
      </c>
      <c r="G16" s="82">
        <f t="shared" si="4"/>
        <v>13171999.160952</v>
      </c>
      <c r="H16" s="82">
        <f t="shared" si="4"/>
        <v>13435439.144171041</v>
      </c>
    </row>
    <row r="17" spans="1:9">
      <c r="A17" s="4" t="s">
        <v>18</v>
      </c>
      <c r="B17" s="84">
        <f>-[1]Eelarvearuanne!H32</f>
        <v>5995903.5899999999</v>
      </c>
      <c r="C17" s="84">
        <f>-[1]Eelarvearuanne!D32</f>
        <v>5732340</v>
      </c>
      <c r="D17" s="82">
        <v>5843356</v>
      </c>
      <c r="E17" s="82">
        <f t="shared" si="4"/>
        <v>5960223.1200000001</v>
      </c>
      <c r="F17" s="82">
        <f t="shared" si="4"/>
        <v>6079427.5824000007</v>
      </c>
      <c r="G17" s="82">
        <f t="shared" si="4"/>
        <v>6201016.1340480009</v>
      </c>
      <c r="H17" s="82">
        <f t="shared" si="4"/>
        <v>6325036.4567289613</v>
      </c>
    </row>
    <row r="18" spans="1:9">
      <c r="A18" s="10" t="s">
        <v>83</v>
      </c>
      <c r="B18" s="92"/>
      <c r="C18" s="92"/>
      <c r="D18" s="93"/>
      <c r="E18" s="93"/>
      <c r="F18" s="93"/>
      <c r="G18" s="94"/>
      <c r="H18" s="94"/>
    </row>
    <row r="19" spans="1:9">
      <c r="A19" s="4" t="s">
        <v>19</v>
      </c>
      <c r="B19" s="84">
        <f>-[1]Eelarvearuanne!H33</f>
        <v>709.51</v>
      </c>
      <c r="C19" s="84">
        <f>-[1]Eelarvearuanne!D33</f>
        <v>48434</v>
      </c>
      <c r="D19" s="82">
        <v>80400</v>
      </c>
      <c r="E19" s="82">
        <v>50000</v>
      </c>
      <c r="F19" s="82">
        <v>50000</v>
      </c>
      <c r="G19" s="82">
        <v>50000</v>
      </c>
      <c r="H19" s="82">
        <v>50000</v>
      </c>
    </row>
    <row r="20" spans="1:9">
      <c r="A20" s="12" t="s">
        <v>20</v>
      </c>
      <c r="B20" s="95">
        <f t="shared" ref="B20:G20" si="5">B2-B13</f>
        <v>1475180.9199999981</v>
      </c>
      <c r="C20" s="96">
        <f t="shared" si="5"/>
        <v>433100</v>
      </c>
      <c r="D20" s="96">
        <f t="shared" si="5"/>
        <v>2018608</v>
      </c>
      <c r="E20" s="96">
        <f t="shared" si="5"/>
        <v>1915897.5</v>
      </c>
      <c r="F20" s="96">
        <f t="shared" si="5"/>
        <v>2143482.75</v>
      </c>
      <c r="G20" s="97">
        <f t="shared" si="5"/>
        <v>2313619.7049999982</v>
      </c>
      <c r="H20" s="97">
        <f>H2-H13</f>
        <v>2426159.3990999982</v>
      </c>
    </row>
    <row r="21" spans="1:9">
      <c r="A21" s="13" t="s">
        <v>21</v>
      </c>
      <c r="B21" s="98">
        <f t="shared" ref="B21:G21" si="6">B22+B23+B25+B26+B27+B28+B29+B30+B31+B32</f>
        <v>-1153724.9500000002</v>
      </c>
      <c r="C21" s="98">
        <f>C22+C23+C25+C26+C27+C28+C29+C30+C31+C32</f>
        <v>-1469376</v>
      </c>
      <c r="D21" s="98">
        <f>D22+D23+D25+D26+D27+D28+D29+D30+D31+D32</f>
        <v>-1048105.6</v>
      </c>
      <c r="E21" s="98">
        <f t="shared" si="6"/>
        <v>-2323578.3328</v>
      </c>
      <c r="F21" s="98">
        <f t="shared" si="6"/>
        <v>-2400942.6528000003</v>
      </c>
      <c r="G21" s="99">
        <f t="shared" si="6"/>
        <v>-1025544.5728</v>
      </c>
      <c r="H21" s="99">
        <f>H22+H23+H25+H26+H27+H28+H29+H30+H31+H32</f>
        <v>-884484.86959999998</v>
      </c>
      <c r="I21" s="16"/>
    </row>
    <row r="22" spans="1:9">
      <c r="A22" s="15" t="s">
        <v>22</v>
      </c>
      <c r="B22" s="84">
        <f>[1]Eelarvearuanne!H36</f>
        <v>17588.43</v>
      </c>
      <c r="C22" s="84">
        <f>[1]Eelarvearuanne!D36</f>
        <v>300000</v>
      </c>
      <c r="D22" s="82">
        <v>200000</v>
      </c>
      <c r="E22" s="82">
        <v>150000</v>
      </c>
      <c r="F22" s="82">
        <v>100000</v>
      </c>
      <c r="G22" s="83">
        <v>100000</v>
      </c>
      <c r="H22" s="83">
        <v>100000</v>
      </c>
      <c r="I22" s="16"/>
    </row>
    <row r="23" spans="1:9">
      <c r="A23" s="15" t="s">
        <v>23</v>
      </c>
      <c r="B23" s="84">
        <f>[1]Eelarvearuanne!H37</f>
        <v>-1886638.61</v>
      </c>
      <c r="C23" s="100">
        <f>[1]Eelarvearuanne!D37</f>
        <v>-1774060</v>
      </c>
      <c r="D23" s="101">
        <f>-D88</f>
        <v>-895154.6</v>
      </c>
      <c r="E23" s="101">
        <f>-E88</f>
        <v>-3400000</v>
      </c>
      <c r="F23" s="101">
        <f>-F88</f>
        <v>-3350000</v>
      </c>
      <c r="G23" s="102">
        <f>-G88</f>
        <v>-700000</v>
      </c>
      <c r="H23" s="102">
        <f>-H88</f>
        <v>-700000</v>
      </c>
      <c r="I23" s="16"/>
    </row>
    <row r="24" spans="1:9">
      <c r="A24" s="17" t="s">
        <v>24</v>
      </c>
      <c r="B24" s="84">
        <f>-(-B23-B25)</f>
        <v>-1002092.7800000001</v>
      </c>
      <c r="C24" s="103">
        <f t="shared" ref="C24:H24" si="7">-C90</f>
        <v>-1370899</v>
      </c>
      <c r="D24" s="101">
        <f t="shared" si="7"/>
        <v>-829215</v>
      </c>
      <c r="E24" s="101">
        <f t="shared" si="7"/>
        <v>-2075000</v>
      </c>
      <c r="F24" s="101">
        <f t="shared" si="7"/>
        <v>-2075000</v>
      </c>
      <c r="G24" s="102">
        <f t="shared" si="7"/>
        <v>-700000</v>
      </c>
      <c r="H24" s="102">
        <f t="shared" si="7"/>
        <v>-700000</v>
      </c>
    </row>
    <row r="25" spans="1:9">
      <c r="A25" s="18" t="s">
        <v>25</v>
      </c>
      <c r="B25" s="84">
        <f>[1]Eelarvearuanne!H38</f>
        <v>884545.83</v>
      </c>
      <c r="C25" s="103">
        <f>[1]Eelarvearuanne!D38</f>
        <v>400669</v>
      </c>
      <c r="D25" s="86">
        <v>85940</v>
      </c>
      <c r="E25" s="86">
        <f>E89</f>
        <v>1325000</v>
      </c>
      <c r="F25" s="86">
        <f>F89</f>
        <v>1275000</v>
      </c>
      <c r="G25" s="104">
        <v>20000</v>
      </c>
      <c r="H25" s="104">
        <v>20000</v>
      </c>
    </row>
    <row r="26" spans="1:9">
      <c r="A26" s="15" t="s">
        <v>26</v>
      </c>
      <c r="B26" s="84">
        <f>[1]Eelarvearuanne!H39</f>
        <v>-114287.76</v>
      </c>
      <c r="C26" s="84">
        <f>[1]Eelarvearuanne!D39</f>
        <v>-71885</v>
      </c>
      <c r="D26" s="82">
        <v>-40000</v>
      </c>
      <c r="E26" s="82">
        <v>-40000</v>
      </c>
      <c r="F26" s="82">
        <v>-40000</v>
      </c>
      <c r="G26" s="83">
        <v>-40000</v>
      </c>
      <c r="H26" s="83">
        <v>-40000</v>
      </c>
    </row>
    <row r="27" spans="1:9">
      <c r="A27" s="19" t="s">
        <v>27</v>
      </c>
      <c r="B27" s="84">
        <f>[1]Eelarvearuanne!H40+[1]Eelarvearuanne!H42</f>
        <v>0</v>
      </c>
      <c r="C27" s="84">
        <f>[1]Eelarvearuanne!D40+[1]Eelarvearuanne!D42</f>
        <v>0</v>
      </c>
      <c r="D27" s="82"/>
      <c r="E27" s="82"/>
      <c r="F27" s="82"/>
      <c r="G27" s="83"/>
      <c r="H27" s="83"/>
    </row>
    <row r="28" spans="1:9">
      <c r="A28" s="19" t="s">
        <v>28</v>
      </c>
      <c r="B28" s="84">
        <f>[1]Eelarvearuanne!H41+[1]Eelarvearuanne!H43</f>
        <v>0</v>
      </c>
      <c r="C28" s="84">
        <f>[1]Eelarvearuanne!D41+[1]Eelarvearuanne!D43</f>
        <v>0</v>
      </c>
      <c r="D28" s="82"/>
      <c r="E28" s="82"/>
      <c r="F28" s="82"/>
      <c r="G28" s="83"/>
      <c r="H28" s="83"/>
    </row>
    <row r="29" spans="1:9">
      <c r="A29" s="21" t="s">
        <v>29</v>
      </c>
      <c r="B29" s="105">
        <f>[1]Eelarvearuanne!H44</f>
        <v>72900</v>
      </c>
      <c r="C29" s="105">
        <f>[1]Eelarvearuanne!D44</f>
        <v>72900</v>
      </c>
      <c r="D29" s="82">
        <v>0</v>
      </c>
      <c r="E29" s="82">
        <v>0</v>
      </c>
      <c r="F29" s="82">
        <v>0</v>
      </c>
      <c r="G29" s="83">
        <v>0</v>
      </c>
      <c r="H29" s="83">
        <v>0</v>
      </c>
    </row>
    <row r="30" spans="1:9">
      <c r="A30" s="19" t="s">
        <v>30</v>
      </c>
      <c r="B30" s="84">
        <f>[1]Eelarvearuanne!H45</f>
        <v>0</v>
      </c>
      <c r="C30" s="84">
        <f>[1]Eelarvearuanne!D45</f>
        <v>0</v>
      </c>
      <c r="D30" s="106"/>
      <c r="E30" s="82"/>
      <c r="F30" s="82"/>
      <c r="G30" s="83"/>
      <c r="H30" s="83"/>
    </row>
    <row r="31" spans="1:9">
      <c r="A31" s="22" t="s">
        <v>31</v>
      </c>
      <c r="B31" s="107">
        <f>[1]Eelarvearuanne!H46</f>
        <v>1252.7</v>
      </c>
      <c r="C31" s="107">
        <f>[1]Eelarvearuanne!D46</f>
        <v>8000</v>
      </c>
      <c r="D31" s="82">
        <v>6500</v>
      </c>
      <c r="E31" s="82">
        <v>1500</v>
      </c>
      <c r="F31" s="82">
        <v>1500</v>
      </c>
      <c r="G31" s="82">
        <v>1500</v>
      </c>
      <c r="H31" s="82">
        <v>1500</v>
      </c>
    </row>
    <row r="32" spans="1:9">
      <c r="A32" s="22" t="s">
        <v>32</v>
      </c>
      <c r="B32" s="84">
        <f>[1]Eelarvearuanne!H47</f>
        <v>-129085.54</v>
      </c>
      <c r="C32" s="84">
        <f>[1]Eelarvearuanne!D47</f>
        <v>-405000</v>
      </c>
      <c r="D32" s="82">
        <v>-405391</v>
      </c>
      <c r="E32" s="82">
        <f>-[1]laenud!F45</f>
        <v>-360078.33280000003</v>
      </c>
      <c r="F32" s="82">
        <f>-[1]laenud!G45</f>
        <v>-387442.65280000004</v>
      </c>
      <c r="G32" s="82">
        <f>-[1]laenud!H45</f>
        <v>-407044.57280000002</v>
      </c>
      <c r="H32" s="82">
        <f>-[1]laenud!I45</f>
        <v>-265984.86959999998</v>
      </c>
    </row>
    <row r="33" spans="1:8">
      <c r="A33" s="23" t="s">
        <v>33</v>
      </c>
      <c r="B33" s="98">
        <f t="shared" ref="B33:G33" si="8">B20+B21</f>
        <v>321455.96999999788</v>
      </c>
      <c r="C33" s="108">
        <f t="shared" si="8"/>
        <v>-1036276</v>
      </c>
      <c r="D33" s="108">
        <f>D20+D21</f>
        <v>970502.4</v>
      </c>
      <c r="E33" s="108">
        <f t="shared" si="8"/>
        <v>-407680.83279999997</v>
      </c>
      <c r="F33" s="108">
        <f t="shared" si="8"/>
        <v>-257459.90280000027</v>
      </c>
      <c r="G33" s="99">
        <f t="shared" si="8"/>
        <v>1288075.1321999982</v>
      </c>
      <c r="H33" s="99">
        <f>H20+H21</f>
        <v>1541674.5294999983</v>
      </c>
    </row>
    <row r="34" spans="1:8">
      <c r="A34" s="23" t="s">
        <v>34</v>
      </c>
      <c r="B34" s="98">
        <f t="shared" ref="B34:G34" si="9">B35+B36</f>
        <v>454504.15999999992</v>
      </c>
      <c r="C34" s="108">
        <f t="shared" si="9"/>
        <v>-474520</v>
      </c>
      <c r="D34" s="108">
        <f t="shared" si="9"/>
        <v>-962296</v>
      </c>
      <c r="E34" s="108">
        <f t="shared" si="9"/>
        <v>684108</v>
      </c>
      <c r="F34" s="108">
        <f t="shared" si="9"/>
        <v>490048</v>
      </c>
      <c r="G34" s="99">
        <f t="shared" si="9"/>
        <v>-1309952</v>
      </c>
      <c r="H34" s="99">
        <f>H35+H36</f>
        <v>-1649957</v>
      </c>
    </row>
    <row r="35" spans="1:8">
      <c r="A35" s="25" t="s">
        <v>35</v>
      </c>
      <c r="B35" s="84">
        <f>[1]Eelarvearuanne!H50</f>
        <v>1934120</v>
      </c>
      <c r="C35" s="84">
        <f>[1]Eelarvearuanne!D50</f>
        <v>1200000</v>
      </c>
      <c r="D35" s="86">
        <v>400000</v>
      </c>
      <c r="E35" s="86">
        <v>2000000</v>
      </c>
      <c r="F35" s="86">
        <v>2000000</v>
      </c>
      <c r="G35" s="86">
        <v>400000</v>
      </c>
      <c r="H35" s="86"/>
    </row>
    <row r="36" spans="1:8">
      <c r="A36" s="25" t="s">
        <v>36</v>
      </c>
      <c r="B36" s="84">
        <f>[1]Eelarvearuanne!H51</f>
        <v>-1479615.84</v>
      </c>
      <c r="C36" s="84">
        <f>[1]Eelarvearuanne!D51</f>
        <v>-1674520</v>
      </c>
      <c r="D36" s="86">
        <f>-[1]laenud!E41</f>
        <v>-1362296</v>
      </c>
      <c r="E36" s="86">
        <f>-[1]laenud!F41</f>
        <v>-1315892</v>
      </c>
      <c r="F36" s="86">
        <f>-[1]laenud!G41</f>
        <v>-1509952</v>
      </c>
      <c r="G36" s="86">
        <f>-[1]laenud!H41</f>
        <v>-1709952</v>
      </c>
      <c r="H36" s="86">
        <f>-[1]laenud!I41</f>
        <v>-1649957</v>
      </c>
    </row>
    <row r="37" spans="1:8" ht="26.25">
      <c r="A37" s="26" t="s">
        <v>37</v>
      </c>
      <c r="B37" s="84">
        <f>[1]Eelarvearuanne!H52</f>
        <v>-22624.97</v>
      </c>
      <c r="C37" s="100">
        <f>[1]Eelarvearuanne!D52</f>
        <v>-1182660</v>
      </c>
      <c r="D37" s="86">
        <f>D33+D34+D38</f>
        <v>-319929.59999999998</v>
      </c>
      <c r="E37" s="86">
        <f>E33+E34+E38</f>
        <v>276427.16720000003</v>
      </c>
      <c r="F37" s="86">
        <f>F33+F34+F38</f>
        <v>232588.09719999973</v>
      </c>
      <c r="G37" s="104">
        <f>G33+G34+G38</f>
        <v>-21876.867800001753</v>
      </c>
      <c r="H37" s="104">
        <f>H33+H34+H38</f>
        <v>-108282.47050000168</v>
      </c>
    </row>
    <row r="38" spans="1:8">
      <c r="A38" s="26" t="s">
        <v>38</v>
      </c>
      <c r="B38" s="84">
        <f>[1]Eelarvearuanne!H53</f>
        <v>-798585.1</v>
      </c>
      <c r="C38" s="84">
        <f>[1]Eelarvearuanne!D53</f>
        <v>328136</v>
      </c>
      <c r="D38" s="109">
        <f>D39+D40</f>
        <v>-328136</v>
      </c>
      <c r="E38" s="109">
        <f>E39+E40</f>
        <v>0</v>
      </c>
      <c r="F38" s="109">
        <f>F39+F40</f>
        <v>0</v>
      </c>
      <c r="G38" s="110">
        <f>G39+G40</f>
        <v>0</v>
      </c>
      <c r="H38" s="110">
        <f>H39+H40</f>
        <v>0</v>
      </c>
    </row>
    <row r="39" spans="1:8">
      <c r="A39" s="29" t="s">
        <v>39</v>
      </c>
      <c r="B39" s="84"/>
      <c r="C39" s="84"/>
      <c r="D39" s="111"/>
      <c r="E39" s="111"/>
      <c r="F39" s="111"/>
      <c r="G39" s="112"/>
      <c r="H39" s="112"/>
    </row>
    <row r="40" spans="1:8">
      <c r="A40" s="30" t="s">
        <v>40</v>
      </c>
      <c r="B40" s="113"/>
      <c r="C40" s="113">
        <f>[1]Eelarvearuanne!D53</f>
        <v>328136</v>
      </c>
      <c r="D40" s="82">
        <v>-328136</v>
      </c>
      <c r="E40" s="82"/>
      <c r="F40" s="82"/>
      <c r="G40" s="83"/>
      <c r="H40" s="83"/>
    </row>
    <row r="41" spans="1:8">
      <c r="A41" s="31" t="s">
        <v>41</v>
      </c>
      <c r="B41" s="114">
        <f>[1]Eelarvearuanne!H158</f>
        <v>1607486.02</v>
      </c>
      <c r="C41" s="115">
        <f t="shared" ref="C41:H41" si="10">B41+C37</f>
        <v>424826.02</v>
      </c>
      <c r="D41" s="115">
        <f t="shared" si="10"/>
        <v>104896.42000000004</v>
      </c>
      <c r="E41" s="115">
        <f t="shared" si="10"/>
        <v>381323.58720000007</v>
      </c>
      <c r="F41" s="115">
        <f t="shared" si="10"/>
        <v>613911.68439999979</v>
      </c>
      <c r="G41" s="116">
        <f t="shared" si="10"/>
        <v>592034.81659999804</v>
      </c>
      <c r="H41" s="116">
        <f t="shared" si="10"/>
        <v>483752.34609999636</v>
      </c>
    </row>
    <row r="42" spans="1:8">
      <c r="A42" s="26" t="s">
        <v>42</v>
      </c>
      <c r="B42" s="117">
        <f>[1]Eelarvearuanne!H156</f>
        <v>10438774.32</v>
      </c>
      <c r="C42" s="103">
        <f t="shared" ref="C42:H42" si="11">B42+C34+C43-B43</f>
        <v>9964254.3200000003</v>
      </c>
      <c r="D42" s="103">
        <f t="shared" si="11"/>
        <v>9001958.3200000003</v>
      </c>
      <c r="E42" s="103">
        <f t="shared" si="11"/>
        <v>9686066.3200000003</v>
      </c>
      <c r="F42" s="103">
        <f t="shared" si="11"/>
        <v>10176114.32</v>
      </c>
      <c r="G42" s="118">
        <f t="shared" si="11"/>
        <v>8866162.3200000003</v>
      </c>
      <c r="H42" s="118">
        <f t="shared" si="11"/>
        <v>7216205.3200000003</v>
      </c>
    </row>
    <row r="43" spans="1:8" ht="34.5">
      <c r="A43" s="32" t="s">
        <v>43</v>
      </c>
      <c r="B43" s="92"/>
      <c r="C43" s="92"/>
      <c r="D43" s="93"/>
      <c r="E43" s="93"/>
      <c r="F43" s="93"/>
      <c r="G43" s="94"/>
      <c r="H43" s="94"/>
    </row>
    <row r="44" spans="1:8" ht="23.25">
      <c r="A44" s="32" t="s">
        <v>44</v>
      </c>
      <c r="B44" s="119">
        <f>[1]Eelarvearuanne!H157</f>
        <v>0</v>
      </c>
      <c r="C44" s="119">
        <f>[1]Eelarvearuanne!D157</f>
        <v>0</v>
      </c>
      <c r="D44" s="82"/>
      <c r="E44" s="82"/>
      <c r="F44" s="82"/>
      <c r="G44" s="120"/>
      <c r="H44" s="120"/>
    </row>
    <row r="45" spans="1:8">
      <c r="A45" s="33" t="s">
        <v>84</v>
      </c>
      <c r="B45" s="85">
        <f t="shared" ref="B45:G45" si="12">IF(B42-B41&lt;0,0,B42-B41)</f>
        <v>8831288.3000000007</v>
      </c>
      <c r="C45" s="85">
        <f>IF(C42-C41&lt;0,0,C42-C41)</f>
        <v>9539428.3000000007</v>
      </c>
      <c r="D45" s="85">
        <f t="shared" si="12"/>
        <v>8897061.9000000004</v>
      </c>
      <c r="E45" s="85">
        <f t="shared" si="12"/>
        <v>9304742.7327999994</v>
      </c>
      <c r="F45" s="85">
        <f t="shared" si="12"/>
        <v>9562202.6356000006</v>
      </c>
      <c r="G45" s="80">
        <f t="shared" si="12"/>
        <v>8274127.5034000026</v>
      </c>
      <c r="H45" s="80">
        <f>IF(H42-H41&lt;0,0,H42-H41)</f>
        <v>6732452.9739000043</v>
      </c>
    </row>
    <row r="46" spans="1:8">
      <c r="A46" s="33" t="s">
        <v>85</v>
      </c>
      <c r="B46" s="121">
        <f t="shared" ref="B46:G46" si="13">B45/B2</f>
        <v>0.47073562538318386</v>
      </c>
      <c r="C46" s="122">
        <f>C45/C2</f>
        <v>0.4721214062182017</v>
      </c>
      <c r="D46" s="122">
        <f t="shared" si="13"/>
        <v>0.40124525872517464</v>
      </c>
      <c r="E46" s="122">
        <f t="shared" si="13"/>
        <v>0.42513354532572045</v>
      </c>
      <c r="F46" s="122">
        <f t="shared" si="13"/>
        <v>0.42523937599378481</v>
      </c>
      <c r="G46" s="123">
        <f t="shared" si="13"/>
        <v>0.35917257461430468</v>
      </c>
      <c r="H46" s="123">
        <f>H45/H2</f>
        <v>0.28604144024411327</v>
      </c>
    </row>
    <row r="47" spans="1:8">
      <c r="A47" s="33" t="s">
        <v>86</v>
      </c>
      <c r="B47" s="85">
        <f>IF((B20+B18)*10&gt;B2,B2+B44,IF((B20+B18)*10&lt;0.8*B2,0.8*B2+B44,(B20+B18)*10+B44))</f>
        <v>15008489.391999999</v>
      </c>
      <c r="C47" s="85">
        <f>IF((C20+C18)*10&gt;C2,C2+C44,IF((C20+C18)*10&lt;0.8*C2,0.8*C2+C44,(C20+C18)*10+C44))</f>
        <v>16164364.800000001</v>
      </c>
      <c r="D47" s="85">
        <f>IF((D20+D18)*10&gt;D2,D2+D44,IF((D20+D18)*10&lt;0.8*D2,0.8*D2+D44,(D20+D18)*10+D44))</f>
        <v>20186080</v>
      </c>
      <c r="E47" s="85">
        <f>IF((E20+E18)*9&gt;E2,E2+E44,IF((E20+E18)*9&lt;0.75*E2,0.75*E2+E44,(E20+E18)*9+E44))</f>
        <v>17243077.5</v>
      </c>
      <c r="F47" s="79">
        <f>IF((F20+F18)*8&gt;F2,F2+F44,IF((F20+F18)*8&lt;0.7*F2,0.7*F2+F44,(F20+F18)*8+F44))</f>
        <v>17147862</v>
      </c>
      <c r="G47" s="80">
        <f>IF((G20+G18)*7&gt;G2,G2+G44,IF((G20+G18)*7&lt;0.65*G2,0.65*G2+G44,(G20+G18)*7+G44))</f>
        <v>16195337.934999987</v>
      </c>
      <c r="H47" s="80">
        <f>IF((H20+H18)*7&gt;H2,H2+H44,IF((H20+H18)*7&lt;0.65*H2,0.65*H2+H44,(H20+H18)*7+H44))</f>
        <v>16983115.793699987</v>
      </c>
    </row>
    <row r="48" spans="1:8">
      <c r="A48" s="33" t="s">
        <v>87</v>
      </c>
      <c r="B48" s="122">
        <f t="shared" ref="B48:G48" si="14">B47/B2</f>
        <v>0.8</v>
      </c>
      <c r="C48" s="122">
        <f t="shared" si="14"/>
        <v>0.8</v>
      </c>
      <c r="D48" s="122">
        <f t="shared" si="14"/>
        <v>0.91036445326373117</v>
      </c>
      <c r="E48" s="122">
        <f t="shared" si="14"/>
        <v>0.78783593275074038</v>
      </c>
      <c r="F48" s="122">
        <f t="shared" si="14"/>
        <v>0.76258017262253774</v>
      </c>
      <c r="G48" s="123">
        <f t="shared" si="14"/>
        <v>0.70302533052244776</v>
      </c>
      <c r="H48" s="123">
        <f>H47/H2</f>
        <v>0.72156091105206788</v>
      </c>
    </row>
    <row r="49" spans="1:9">
      <c r="A49" s="33" t="s">
        <v>45</v>
      </c>
      <c r="B49" s="79">
        <f t="shared" ref="B49:G49" si="15">B47-B45</f>
        <v>6177201.0919999983</v>
      </c>
      <c r="C49" s="79">
        <f t="shared" si="15"/>
        <v>6624936.5</v>
      </c>
      <c r="D49" s="79">
        <f t="shared" si="15"/>
        <v>11289018.1</v>
      </c>
      <c r="E49" s="79">
        <f t="shared" si="15"/>
        <v>7938334.7672000006</v>
      </c>
      <c r="F49" s="79">
        <f t="shared" si="15"/>
        <v>7585659.3643999994</v>
      </c>
      <c r="G49" s="80">
        <f t="shared" si="15"/>
        <v>7921210.4315999849</v>
      </c>
      <c r="H49" s="80">
        <f>H47-H45</f>
        <v>10250662.819799982</v>
      </c>
    </row>
    <row r="50" spans="1:9">
      <c r="A50" s="34"/>
      <c r="B50" s="124"/>
      <c r="C50" s="125"/>
      <c r="D50" s="125"/>
      <c r="E50" s="125"/>
      <c r="F50" s="125"/>
      <c r="G50" s="126"/>
      <c r="H50" s="126"/>
    </row>
    <row r="51" spans="1:9" ht="16.5" thickBot="1">
      <c r="A51" s="35" t="s">
        <v>46</v>
      </c>
      <c r="B51" s="127">
        <f t="shared" ref="B51:G51" si="16">B33+B34-B37+B38</f>
        <v>-2.2118911147117615E-9</v>
      </c>
      <c r="C51" s="127">
        <f>C33+C34-C37+C38</f>
        <v>0</v>
      </c>
      <c r="D51" s="127">
        <f>D33+D34-D37+D38</f>
        <v>0</v>
      </c>
      <c r="E51" s="127">
        <f t="shared" si="16"/>
        <v>0</v>
      </c>
      <c r="F51" s="127">
        <f t="shared" si="16"/>
        <v>0</v>
      </c>
      <c r="G51" s="128">
        <f t="shared" si="16"/>
        <v>0</v>
      </c>
      <c r="H51" s="128">
        <f>H33+H34-H37+H38</f>
        <v>0</v>
      </c>
    </row>
    <row r="52" spans="1:9">
      <c r="A52" s="36" t="s">
        <v>88</v>
      </c>
      <c r="B52" s="129" t="str">
        <f t="shared" ref="B52:G52" si="17">IF((-B24-B26-B28-B30)&lt;B35,"FALSE","OK")</f>
        <v>FALSE</v>
      </c>
      <c r="C52" s="129" t="str">
        <f t="shared" si="17"/>
        <v>OK</v>
      </c>
      <c r="D52" s="129" t="str">
        <f t="shared" si="17"/>
        <v>OK</v>
      </c>
      <c r="E52" s="129" t="str">
        <f t="shared" si="17"/>
        <v>OK</v>
      </c>
      <c r="F52" s="129" t="str">
        <f t="shared" si="17"/>
        <v>OK</v>
      </c>
      <c r="G52" s="129" t="str">
        <f t="shared" si="17"/>
        <v>OK</v>
      </c>
      <c r="H52" s="129" t="str">
        <f>IF((-H24-H26-H28-H30)&lt;H35,"FALSE","OK")</f>
        <v>OK</v>
      </c>
    </row>
    <row r="53" spans="1:9">
      <c r="A53" s="37" t="s">
        <v>47</v>
      </c>
      <c r="B53" s="38" t="s">
        <v>48</v>
      </c>
      <c r="C53" s="130">
        <f t="shared" ref="C53:H53" si="18">C2/B2-1</f>
        <v>7.7014773293314853E-2</v>
      </c>
      <c r="D53" s="130">
        <f t="shared" si="18"/>
        <v>9.7407799160781128E-2</v>
      </c>
      <c r="E53" s="130">
        <f t="shared" si="18"/>
        <v>-1.2942854404726312E-2</v>
      </c>
      <c r="F53" s="130">
        <f t="shared" si="18"/>
        <v>2.7413990318749359E-2</v>
      </c>
      <c r="G53" s="130">
        <f t="shared" si="18"/>
        <v>2.4458973074450663E-2</v>
      </c>
      <c r="H53" s="130">
        <f t="shared" si="18"/>
        <v>2.170455884724487E-2</v>
      </c>
      <c r="I53" s="20"/>
    </row>
    <row r="54" spans="1:9">
      <c r="A54" s="37" t="s">
        <v>49</v>
      </c>
      <c r="B54" s="38" t="s">
        <v>48</v>
      </c>
      <c r="C54" s="130">
        <f t="shared" ref="C54:H54" si="19">C13/B13-1</f>
        <v>0.14387406399628277</v>
      </c>
      <c r="D54" s="130">
        <f t="shared" si="19"/>
        <v>1.9353333512708293E-2</v>
      </c>
      <c r="E54" s="130">
        <f t="shared" si="19"/>
        <v>-9.1431081402709724E-3</v>
      </c>
      <c r="F54" s="130">
        <f t="shared" si="19"/>
        <v>1.8648021887023525E-2</v>
      </c>
      <c r="G54" s="130">
        <f t="shared" si="19"/>
        <v>1.867277206264828E-2</v>
      </c>
      <c r="H54" s="130">
        <f t="shared" si="19"/>
        <v>1.8697100802385958E-2</v>
      </c>
      <c r="I54" s="20"/>
    </row>
    <row r="55" spans="1:9">
      <c r="A55" s="37" t="s">
        <v>50</v>
      </c>
      <c r="B55" s="131">
        <f t="shared" ref="B55:G55" si="20">B2/B13</f>
        <v>1.0853424444760236</v>
      </c>
      <c r="C55" s="131">
        <f t="shared" si="20"/>
        <v>1.021904319343633</v>
      </c>
      <c r="D55" s="131">
        <f t="shared" si="20"/>
        <v>1.1001541204356216</v>
      </c>
      <c r="E55" s="131">
        <f t="shared" si="20"/>
        <v>1.0959352402483884</v>
      </c>
      <c r="F55" s="131">
        <f t="shared" si="20"/>
        <v>1.1053663032974645</v>
      </c>
      <c r="G55" s="131">
        <f t="shared" si="20"/>
        <v>1.1116449354529128</v>
      </c>
      <c r="H55" s="131">
        <f>H2/H13</f>
        <v>1.114926799612064</v>
      </c>
    </row>
    <row r="56" spans="1:9" ht="16.5" thickBot="1"/>
    <row r="57" spans="1:9" ht="39" thickBot="1">
      <c r="A57" s="143" t="s">
        <v>51</v>
      </c>
      <c r="B57" s="144"/>
      <c r="C57" s="144" t="s">
        <v>81</v>
      </c>
      <c r="D57" s="144" t="s">
        <v>0</v>
      </c>
      <c r="E57" s="144" t="s">
        <v>1</v>
      </c>
      <c r="F57" s="144" t="s">
        <v>2</v>
      </c>
      <c r="G57" s="145" t="s">
        <v>82</v>
      </c>
      <c r="H57" s="145" t="s">
        <v>102</v>
      </c>
    </row>
    <row r="58" spans="1:9">
      <c r="A58" s="41" t="s">
        <v>52</v>
      </c>
      <c r="B58" s="133"/>
      <c r="C58" s="133">
        <f t="shared" ref="C58:H58" si="21">SUM(C59:C60)</f>
        <v>0</v>
      </c>
      <c r="D58" s="133">
        <f t="shared" si="21"/>
        <v>0</v>
      </c>
      <c r="E58" s="133">
        <f t="shared" si="21"/>
        <v>0</v>
      </c>
      <c r="F58" s="133">
        <f t="shared" si="21"/>
        <v>0</v>
      </c>
      <c r="G58" s="134">
        <f t="shared" si="21"/>
        <v>0</v>
      </c>
      <c r="H58" s="134">
        <f t="shared" si="21"/>
        <v>0</v>
      </c>
    </row>
    <row r="59" spans="1:9">
      <c r="A59" s="42" t="s">
        <v>53</v>
      </c>
      <c r="B59" s="103"/>
      <c r="C59" s="82"/>
      <c r="D59" s="82"/>
      <c r="E59" s="82"/>
      <c r="F59" s="82"/>
      <c r="G59" s="83"/>
      <c r="H59" s="83"/>
    </row>
    <row r="60" spans="1:9">
      <c r="A60" s="42" t="s">
        <v>54</v>
      </c>
      <c r="B60" s="103"/>
      <c r="C60" s="82"/>
      <c r="D60" s="82"/>
      <c r="E60" s="82"/>
      <c r="F60" s="82"/>
      <c r="G60" s="83"/>
      <c r="H60" s="83"/>
    </row>
    <row r="61" spans="1:9">
      <c r="A61" s="41" t="s">
        <v>89</v>
      </c>
      <c r="B61" s="133"/>
      <c r="C61" s="133">
        <f t="shared" ref="C61:H61" si="22">SUM(C62:C63)</f>
        <v>0</v>
      </c>
      <c r="D61" s="133">
        <f t="shared" si="22"/>
        <v>0</v>
      </c>
      <c r="E61" s="133">
        <f t="shared" si="22"/>
        <v>0</v>
      </c>
      <c r="F61" s="133">
        <f t="shared" si="22"/>
        <v>0</v>
      </c>
      <c r="G61" s="134">
        <f t="shared" si="22"/>
        <v>0</v>
      </c>
      <c r="H61" s="134">
        <f t="shared" si="22"/>
        <v>0</v>
      </c>
    </row>
    <row r="62" spans="1:9">
      <c r="A62" s="42" t="s">
        <v>53</v>
      </c>
      <c r="B62" s="103"/>
      <c r="C62" s="82"/>
      <c r="D62" s="82"/>
      <c r="E62" s="82"/>
      <c r="F62" s="82"/>
      <c r="G62" s="83"/>
      <c r="H62" s="83"/>
    </row>
    <row r="63" spans="1:9">
      <c r="A63" s="42" t="s">
        <v>54</v>
      </c>
      <c r="B63" s="103"/>
      <c r="C63" s="82"/>
      <c r="D63" s="82"/>
      <c r="E63" s="82"/>
      <c r="F63" s="82"/>
      <c r="G63" s="83"/>
      <c r="H63" s="83"/>
    </row>
    <row r="64" spans="1:9">
      <c r="A64" s="41" t="s">
        <v>55</v>
      </c>
      <c r="B64" s="133"/>
      <c r="C64" s="133">
        <f t="shared" ref="C64:H64" si="23">SUM(C65:C66)</f>
        <v>34842</v>
      </c>
      <c r="D64" s="133">
        <f t="shared" si="23"/>
        <v>0</v>
      </c>
      <c r="E64" s="133">
        <f t="shared" si="23"/>
        <v>0</v>
      </c>
      <c r="F64" s="133">
        <f t="shared" si="23"/>
        <v>0</v>
      </c>
      <c r="G64" s="134">
        <f t="shared" si="23"/>
        <v>0</v>
      </c>
      <c r="H64" s="134">
        <f t="shared" si="23"/>
        <v>0</v>
      </c>
    </row>
    <row r="65" spans="1:8">
      <c r="A65" s="42" t="s">
        <v>53</v>
      </c>
      <c r="B65" s="103"/>
      <c r="C65" s="82">
        <f>C94</f>
        <v>28320</v>
      </c>
      <c r="D65" s="82"/>
      <c r="E65" s="82"/>
      <c r="F65" s="82"/>
      <c r="G65" s="83"/>
      <c r="H65" s="83"/>
    </row>
    <row r="66" spans="1:8">
      <c r="A66" s="42" t="s">
        <v>54</v>
      </c>
      <c r="B66" s="103"/>
      <c r="C66" s="82">
        <f>C95</f>
        <v>6522</v>
      </c>
      <c r="D66" s="82"/>
      <c r="E66" s="82"/>
      <c r="F66" s="82"/>
      <c r="G66" s="83"/>
      <c r="H66" s="83"/>
    </row>
    <row r="67" spans="1:8">
      <c r="A67" s="41" t="s">
        <v>56</v>
      </c>
      <c r="B67" s="133"/>
      <c r="C67" s="133">
        <f t="shared" ref="C67:H67" si="24">SUM(C68:C69)</f>
        <v>885736</v>
      </c>
      <c r="D67" s="133">
        <f t="shared" si="24"/>
        <v>668925</v>
      </c>
      <c r="E67" s="133">
        <f t="shared" si="24"/>
        <v>1300000</v>
      </c>
      <c r="F67" s="133">
        <f t="shared" si="24"/>
        <v>1200000</v>
      </c>
      <c r="G67" s="134">
        <f t="shared" si="24"/>
        <v>500000</v>
      </c>
      <c r="H67" s="134">
        <f t="shared" si="24"/>
        <v>500000</v>
      </c>
    </row>
    <row r="68" spans="1:8">
      <c r="A68" s="42" t="s">
        <v>53</v>
      </c>
      <c r="B68" s="103"/>
      <c r="C68" s="82">
        <f t="shared" ref="C68:H69" si="25">C97+C100+C103+C106</f>
        <v>100000</v>
      </c>
      <c r="D68" s="82">
        <f t="shared" si="25"/>
        <v>0</v>
      </c>
      <c r="E68" s="82">
        <f t="shared" si="25"/>
        <v>525000</v>
      </c>
      <c r="F68" s="82">
        <f t="shared" si="25"/>
        <v>525000</v>
      </c>
      <c r="G68" s="82">
        <f t="shared" si="25"/>
        <v>0</v>
      </c>
      <c r="H68" s="82">
        <f t="shared" si="25"/>
        <v>0</v>
      </c>
    </row>
    <row r="69" spans="1:8">
      <c r="A69" s="42" t="s">
        <v>54</v>
      </c>
      <c r="B69" s="103"/>
      <c r="C69" s="82">
        <f t="shared" si="25"/>
        <v>785736</v>
      </c>
      <c r="D69" s="82">
        <f t="shared" si="25"/>
        <v>668925</v>
      </c>
      <c r="E69" s="82">
        <f t="shared" si="25"/>
        <v>775000</v>
      </c>
      <c r="F69" s="82">
        <f t="shared" si="25"/>
        <v>675000</v>
      </c>
      <c r="G69" s="82">
        <f t="shared" si="25"/>
        <v>500000</v>
      </c>
      <c r="H69" s="82">
        <f t="shared" si="25"/>
        <v>500000</v>
      </c>
    </row>
    <row r="70" spans="1:8">
      <c r="A70" s="41" t="s">
        <v>57</v>
      </c>
      <c r="B70" s="103"/>
      <c r="C70" s="133">
        <f t="shared" ref="C70:H70" si="26">SUM(C71:C72)</f>
        <v>0</v>
      </c>
      <c r="D70" s="133">
        <f t="shared" si="26"/>
        <v>0</v>
      </c>
      <c r="E70" s="133">
        <f t="shared" si="26"/>
        <v>0</v>
      </c>
      <c r="F70" s="133">
        <f t="shared" si="26"/>
        <v>0</v>
      </c>
      <c r="G70" s="134">
        <f t="shared" si="26"/>
        <v>0</v>
      </c>
      <c r="H70" s="134">
        <f t="shared" si="26"/>
        <v>0</v>
      </c>
    </row>
    <row r="71" spans="1:8">
      <c r="A71" s="42" t="s">
        <v>53</v>
      </c>
      <c r="B71" s="103"/>
      <c r="C71" s="82"/>
      <c r="D71" s="82"/>
      <c r="E71" s="82"/>
      <c r="F71" s="82"/>
      <c r="G71" s="83"/>
      <c r="H71" s="83"/>
    </row>
    <row r="72" spans="1:8">
      <c r="A72" s="42" t="s">
        <v>54</v>
      </c>
      <c r="B72" s="103"/>
      <c r="C72" s="82"/>
      <c r="D72" s="82"/>
      <c r="E72" s="82"/>
      <c r="F72" s="82"/>
      <c r="G72" s="83"/>
      <c r="H72" s="83"/>
    </row>
    <row r="73" spans="1:8">
      <c r="A73" s="41" t="s">
        <v>58</v>
      </c>
      <c r="B73" s="103"/>
      <c r="C73" s="133">
        <f t="shared" ref="C73:H73" si="27">SUM(C74:C75)</f>
        <v>373345</v>
      </c>
      <c r="D73" s="133">
        <f t="shared" si="27"/>
        <v>0</v>
      </c>
      <c r="E73" s="133">
        <f t="shared" si="27"/>
        <v>0</v>
      </c>
      <c r="F73" s="133">
        <f t="shared" si="27"/>
        <v>0</v>
      </c>
      <c r="G73" s="134">
        <f t="shared" si="27"/>
        <v>0</v>
      </c>
      <c r="H73" s="134">
        <f t="shared" si="27"/>
        <v>0</v>
      </c>
    </row>
    <row r="74" spans="1:8">
      <c r="A74" s="42" t="s">
        <v>53</v>
      </c>
      <c r="B74" s="103"/>
      <c r="C74" s="82">
        <f t="shared" ref="C74:H75" si="28">C109+C112</f>
        <v>189201</v>
      </c>
      <c r="D74" s="82">
        <f t="shared" si="28"/>
        <v>0</v>
      </c>
      <c r="E74" s="82">
        <f t="shared" si="28"/>
        <v>0</v>
      </c>
      <c r="F74" s="82">
        <f t="shared" si="28"/>
        <v>0</v>
      </c>
      <c r="G74" s="82">
        <f t="shared" si="28"/>
        <v>0</v>
      </c>
      <c r="H74" s="82">
        <f t="shared" si="28"/>
        <v>0</v>
      </c>
    </row>
    <row r="75" spans="1:8">
      <c r="A75" s="42" t="s">
        <v>54</v>
      </c>
      <c r="B75" s="103"/>
      <c r="C75" s="82">
        <f t="shared" si="28"/>
        <v>184144</v>
      </c>
      <c r="D75" s="82">
        <f t="shared" si="28"/>
        <v>0</v>
      </c>
      <c r="E75" s="82">
        <f t="shared" si="28"/>
        <v>0</v>
      </c>
      <c r="F75" s="82">
        <f t="shared" si="28"/>
        <v>0</v>
      </c>
      <c r="G75" s="82">
        <f t="shared" si="28"/>
        <v>0</v>
      </c>
      <c r="H75" s="82">
        <f t="shared" si="28"/>
        <v>0</v>
      </c>
    </row>
    <row r="76" spans="1:8">
      <c r="A76" s="41" t="s">
        <v>59</v>
      </c>
      <c r="B76" s="103"/>
      <c r="C76" s="133">
        <f t="shared" ref="C76:H76" si="29">SUM(C77:C78)</f>
        <v>39463</v>
      </c>
      <c r="D76" s="133">
        <f t="shared" si="29"/>
        <v>0</v>
      </c>
      <c r="E76" s="133">
        <f t="shared" si="29"/>
        <v>0</v>
      </c>
      <c r="F76" s="133">
        <f t="shared" si="29"/>
        <v>0</v>
      </c>
      <c r="G76" s="134">
        <f t="shared" si="29"/>
        <v>0</v>
      </c>
      <c r="H76" s="134">
        <f t="shared" si="29"/>
        <v>0</v>
      </c>
    </row>
    <row r="77" spans="1:8">
      <c r="A77" s="42" t="s">
        <v>53</v>
      </c>
      <c r="B77" s="103"/>
      <c r="C77" s="82">
        <f t="shared" ref="C77:G78" si="30">C115</f>
        <v>0</v>
      </c>
      <c r="D77" s="82">
        <f t="shared" si="30"/>
        <v>0</v>
      </c>
      <c r="E77" s="82">
        <f t="shared" si="30"/>
        <v>0</v>
      </c>
      <c r="F77" s="82">
        <f t="shared" si="30"/>
        <v>0</v>
      </c>
      <c r="G77" s="82">
        <f t="shared" si="30"/>
        <v>0</v>
      </c>
      <c r="H77" s="82">
        <f>H115</f>
        <v>0</v>
      </c>
    </row>
    <row r="78" spans="1:8">
      <c r="A78" s="42" t="s">
        <v>54</v>
      </c>
      <c r="B78" s="103"/>
      <c r="C78" s="82">
        <f t="shared" si="30"/>
        <v>39463</v>
      </c>
      <c r="D78" s="82">
        <f t="shared" si="30"/>
        <v>0</v>
      </c>
      <c r="E78" s="82">
        <f t="shared" si="30"/>
        <v>0</v>
      </c>
      <c r="F78" s="82">
        <f t="shared" si="30"/>
        <v>0</v>
      </c>
      <c r="G78" s="82">
        <f t="shared" si="30"/>
        <v>0</v>
      </c>
      <c r="H78" s="82">
        <f>H116</f>
        <v>0</v>
      </c>
    </row>
    <row r="79" spans="1:8">
      <c r="A79" s="41" t="s">
        <v>60</v>
      </c>
      <c r="B79" s="103"/>
      <c r="C79" s="133">
        <f t="shared" ref="C79:H79" si="31">SUM(C80:C81)</f>
        <v>268081</v>
      </c>
      <c r="D79" s="133">
        <f t="shared" si="31"/>
        <v>182428.6</v>
      </c>
      <c r="E79" s="133">
        <f t="shared" si="31"/>
        <v>2100000</v>
      </c>
      <c r="F79" s="133">
        <f t="shared" si="31"/>
        <v>2150000</v>
      </c>
      <c r="G79" s="134">
        <f t="shared" si="31"/>
        <v>200000</v>
      </c>
      <c r="H79" s="134">
        <f t="shared" si="31"/>
        <v>200000</v>
      </c>
    </row>
    <row r="80" spans="1:8">
      <c r="A80" s="42" t="s">
        <v>53</v>
      </c>
      <c r="B80" s="103"/>
      <c r="C80" s="82">
        <f>C124+C136+C142+C148</f>
        <v>0</v>
      </c>
      <c r="D80" s="82">
        <f>D124+D136+D142+D148+D151</f>
        <v>65939.600000000006</v>
      </c>
      <c r="E80" s="82">
        <f>E124+E127+E130+E133+E136+E142+E148+E151</f>
        <v>800000</v>
      </c>
      <c r="F80" s="82">
        <f>F124+F127+F130+F133+F136+F142+F148+F151</f>
        <v>750000</v>
      </c>
      <c r="G80" s="82">
        <f>G124+G127+G130+G133+G136+G142+G148+G151</f>
        <v>0</v>
      </c>
      <c r="H80" s="82">
        <f>H124+H127+H130+H133+H136+H142+H148+H151</f>
        <v>0</v>
      </c>
    </row>
    <row r="81" spans="1:9">
      <c r="A81" s="42" t="s">
        <v>54</v>
      </c>
      <c r="B81" s="103"/>
      <c r="C81" s="82">
        <f>C125+C137+C143+C149</f>
        <v>268081</v>
      </c>
      <c r="D81" s="82">
        <f>+D119+D122+D140+D146+D125+D137+D143+D149+D152</f>
        <v>116489</v>
      </c>
      <c r="E81" s="82">
        <f>E125+E128+E131+E134+E137+E143+E149</f>
        <v>1300000</v>
      </c>
      <c r="F81" s="82">
        <f>F125+F128+F131+F134+F137+F143+F149</f>
        <v>1400000</v>
      </c>
      <c r="G81" s="82">
        <f>G125+G128+G131+G134+G137+G143+G149</f>
        <v>200000</v>
      </c>
      <c r="H81" s="82">
        <f>H125+H128+H131+H134+H137+H143+H149</f>
        <v>200000</v>
      </c>
    </row>
    <row r="82" spans="1:9">
      <c r="A82" s="41" t="s">
        <v>61</v>
      </c>
      <c r="B82" s="103"/>
      <c r="C82" s="133">
        <f t="shared" ref="C82:H82" si="32">SUM(C83:C84)</f>
        <v>85594</v>
      </c>
      <c r="D82" s="133">
        <f t="shared" si="32"/>
        <v>43801</v>
      </c>
      <c r="E82" s="133">
        <f t="shared" si="32"/>
        <v>0</v>
      </c>
      <c r="F82" s="133">
        <f t="shared" si="32"/>
        <v>0</v>
      </c>
      <c r="G82" s="134">
        <f t="shared" si="32"/>
        <v>0</v>
      </c>
      <c r="H82" s="134">
        <f t="shared" si="32"/>
        <v>0</v>
      </c>
    </row>
    <row r="83" spans="1:9">
      <c r="A83" s="42" t="s">
        <v>53</v>
      </c>
      <c r="B83" s="103"/>
      <c r="C83" s="82">
        <f t="shared" ref="C83:H83" si="33">C154+C160+C166</f>
        <v>0</v>
      </c>
      <c r="D83" s="82">
        <f t="shared" si="33"/>
        <v>0</v>
      </c>
      <c r="E83" s="82">
        <f t="shared" si="33"/>
        <v>0</v>
      </c>
      <c r="F83" s="82">
        <f t="shared" si="33"/>
        <v>0</v>
      </c>
      <c r="G83" s="82">
        <f t="shared" si="33"/>
        <v>0</v>
      </c>
      <c r="H83" s="82">
        <f t="shared" si="33"/>
        <v>0</v>
      </c>
    </row>
    <row r="84" spans="1:9">
      <c r="A84" s="42" t="s">
        <v>54</v>
      </c>
      <c r="B84" s="103"/>
      <c r="C84" s="82">
        <f>C155+C161+C167</f>
        <v>85594</v>
      </c>
      <c r="D84" s="82">
        <f>D155+D158+D161+D164+D170</f>
        <v>43801</v>
      </c>
      <c r="E84" s="82">
        <f>E155+E161+E167</f>
        <v>0</v>
      </c>
      <c r="F84" s="82">
        <f>F155+F161+F167</f>
        <v>0</v>
      </c>
      <c r="G84" s="82">
        <f>G155+G161+G167</f>
        <v>0</v>
      </c>
      <c r="H84" s="82">
        <f>H155+H161+H167</f>
        <v>0</v>
      </c>
    </row>
    <row r="85" spans="1:9">
      <c r="A85" s="41" t="s">
        <v>62</v>
      </c>
      <c r="B85" s="133"/>
      <c r="C85" s="133">
        <f t="shared" ref="C85:H85" si="34">SUM(C86:C87)</f>
        <v>86999</v>
      </c>
      <c r="D85" s="133">
        <f t="shared" si="34"/>
        <v>0</v>
      </c>
      <c r="E85" s="133">
        <f t="shared" si="34"/>
        <v>0</v>
      </c>
      <c r="F85" s="133">
        <f t="shared" si="34"/>
        <v>0</v>
      </c>
      <c r="G85" s="134">
        <f t="shared" si="34"/>
        <v>0</v>
      </c>
      <c r="H85" s="134">
        <f t="shared" si="34"/>
        <v>0</v>
      </c>
    </row>
    <row r="86" spans="1:9">
      <c r="A86" s="42" t="s">
        <v>53</v>
      </c>
      <c r="B86" s="103"/>
      <c r="C86" s="82">
        <f t="shared" ref="C86:G87" si="35">C172</f>
        <v>85640</v>
      </c>
      <c r="D86" s="82">
        <f t="shared" si="35"/>
        <v>0</v>
      </c>
      <c r="E86" s="82">
        <f t="shared" si="35"/>
        <v>0</v>
      </c>
      <c r="F86" s="82">
        <f t="shared" si="35"/>
        <v>0</v>
      </c>
      <c r="G86" s="82">
        <f t="shared" si="35"/>
        <v>0</v>
      </c>
      <c r="H86" s="82">
        <f>H172</f>
        <v>0</v>
      </c>
    </row>
    <row r="87" spans="1:9">
      <c r="A87" s="42" t="s">
        <v>54</v>
      </c>
      <c r="B87" s="103"/>
      <c r="C87" s="82">
        <f t="shared" si="35"/>
        <v>1359</v>
      </c>
      <c r="D87" s="82">
        <f t="shared" si="35"/>
        <v>0</v>
      </c>
      <c r="E87" s="82">
        <f t="shared" si="35"/>
        <v>0</v>
      </c>
      <c r="F87" s="82">
        <f t="shared" si="35"/>
        <v>0</v>
      </c>
      <c r="G87" s="82">
        <f t="shared" si="35"/>
        <v>0</v>
      </c>
      <c r="H87" s="82">
        <f>H173</f>
        <v>0</v>
      </c>
    </row>
    <row r="88" spans="1:9">
      <c r="A88" s="43" t="s">
        <v>63</v>
      </c>
      <c r="B88" s="135"/>
      <c r="C88" s="135">
        <f t="shared" ref="C88:H88" si="36">SUM(C89:C90)</f>
        <v>1774060</v>
      </c>
      <c r="D88" s="135">
        <f t="shared" si="36"/>
        <v>895154.6</v>
      </c>
      <c r="E88" s="135">
        <f t="shared" si="36"/>
        <v>3400000</v>
      </c>
      <c r="F88" s="135">
        <f t="shared" si="36"/>
        <v>3350000</v>
      </c>
      <c r="G88" s="136">
        <f t="shared" si="36"/>
        <v>700000</v>
      </c>
      <c r="H88" s="136">
        <f t="shared" si="36"/>
        <v>700000</v>
      </c>
      <c r="I88" s="16"/>
    </row>
    <row r="89" spans="1:9">
      <c r="A89" s="42" t="s">
        <v>53</v>
      </c>
      <c r="B89" s="103"/>
      <c r="C89" s="103">
        <f t="shared" ref="C89:H90" si="37">C59+C62+C65+C68+C71+C74+C77+C80+C83+C86</f>
        <v>403161</v>
      </c>
      <c r="D89" s="103">
        <f t="shared" si="37"/>
        <v>65939.600000000006</v>
      </c>
      <c r="E89" s="103">
        <f t="shared" si="37"/>
        <v>1325000</v>
      </c>
      <c r="F89" s="103">
        <f t="shared" si="37"/>
        <v>1275000</v>
      </c>
      <c r="G89" s="103">
        <f t="shared" si="37"/>
        <v>0</v>
      </c>
      <c r="H89" s="103">
        <f t="shared" si="37"/>
        <v>0</v>
      </c>
    </row>
    <row r="90" spans="1:9" ht="16.5" thickBot="1">
      <c r="A90" s="44" t="s">
        <v>54</v>
      </c>
      <c r="B90" s="137"/>
      <c r="C90" s="138">
        <f t="shared" si="37"/>
        <v>1370899</v>
      </c>
      <c r="D90" s="138">
        <f t="shared" si="37"/>
        <v>829215</v>
      </c>
      <c r="E90" s="138">
        <f t="shared" si="37"/>
        <v>2075000</v>
      </c>
      <c r="F90" s="138">
        <f t="shared" si="37"/>
        <v>2075000</v>
      </c>
      <c r="G90" s="138">
        <f t="shared" si="37"/>
        <v>700000</v>
      </c>
      <c r="H90" s="138">
        <f>H60+H63+H66+H69+H72+H75+H78+H81+H84+H87</f>
        <v>700000</v>
      </c>
      <c r="I90" s="16"/>
    </row>
    <row r="92" spans="1:9">
      <c r="A92" s="11" t="s">
        <v>64</v>
      </c>
      <c r="B92" s="142"/>
      <c r="C92" s="142"/>
      <c r="D92" s="142"/>
      <c r="E92" s="142"/>
      <c r="F92" s="142"/>
    </row>
    <row r="93" spans="1:9">
      <c r="A93" s="45" t="s">
        <v>65</v>
      </c>
      <c r="B93" s="139"/>
      <c r="C93" s="133">
        <f t="shared" ref="C93:H93" si="38">SUM(C94:C95)</f>
        <v>34842</v>
      </c>
      <c r="D93" s="133">
        <f t="shared" si="38"/>
        <v>0</v>
      </c>
      <c r="E93" s="133">
        <f t="shared" si="38"/>
        <v>0</v>
      </c>
      <c r="F93" s="133">
        <f t="shared" si="38"/>
        <v>0</v>
      </c>
      <c r="G93" s="134">
        <f t="shared" si="38"/>
        <v>0</v>
      </c>
      <c r="H93" s="134">
        <f t="shared" si="38"/>
        <v>0</v>
      </c>
    </row>
    <row r="94" spans="1:9">
      <c r="A94" s="42" t="s">
        <v>53</v>
      </c>
      <c r="B94" s="139"/>
      <c r="C94" s="82">
        <v>28320</v>
      </c>
      <c r="D94" s="140"/>
      <c r="E94" s="140"/>
      <c r="F94" s="140"/>
      <c r="G94" s="140"/>
      <c r="H94" s="140"/>
    </row>
    <row r="95" spans="1:9">
      <c r="A95" s="42" t="s">
        <v>54</v>
      </c>
      <c r="B95" s="139"/>
      <c r="C95" s="140">
        <f>6522</f>
        <v>6522</v>
      </c>
      <c r="D95" s="140"/>
      <c r="E95" s="140"/>
      <c r="F95" s="140"/>
      <c r="G95" s="140"/>
      <c r="H95" s="140"/>
    </row>
    <row r="96" spans="1:9">
      <c r="A96" s="46" t="s">
        <v>66</v>
      </c>
      <c r="B96" s="139"/>
      <c r="C96" s="133">
        <f t="shared" ref="C96:H96" si="39">SUM(C97:C98)</f>
        <v>810217</v>
      </c>
      <c r="D96" s="133">
        <f t="shared" si="39"/>
        <v>500000</v>
      </c>
      <c r="E96" s="133">
        <f t="shared" si="39"/>
        <v>500000</v>
      </c>
      <c r="F96" s="133">
        <f t="shared" si="39"/>
        <v>500000</v>
      </c>
      <c r="G96" s="134">
        <f t="shared" si="39"/>
        <v>500000</v>
      </c>
      <c r="H96" s="134">
        <f t="shared" si="39"/>
        <v>500000</v>
      </c>
    </row>
    <row r="97" spans="1:8">
      <c r="A97" s="42" t="s">
        <v>53</v>
      </c>
      <c r="B97" s="139"/>
      <c r="C97" s="140">
        <v>100000</v>
      </c>
      <c r="D97" s="140"/>
      <c r="E97" s="140"/>
      <c r="F97" s="140"/>
      <c r="G97" s="140"/>
      <c r="H97" s="140"/>
    </row>
    <row r="98" spans="1:8">
      <c r="A98" s="42" t="s">
        <v>54</v>
      </c>
      <c r="B98" s="139"/>
      <c r="C98" s="140">
        <v>710217</v>
      </c>
      <c r="D98" s="140">
        <v>500000</v>
      </c>
      <c r="E98" s="140">
        <v>500000</v>
      </c>
      <c r="F98" s="140">
        <v>500000</v>
      </c>
      <c r="G98" s="140">
        <v>500000</v>
      </c>
      <c r="H98" s="140">
        <v>500000</v>
      </c>
    </row>
    <row r="99" spans="1:8" ht="26.25">
      <c r="A99" s="2" t="s">
        <v>68</v>
      </c>
      <c r="B99" s="139"/>
      <c r="C99" s="133">
        <f t="shared" ref="C99:H99" si="40">SUM(C100:C101)</f>
        <v>52519</v>
      </c>
      <c r="D99" s="133">
        <f t="shared" si="40"/>
        <v>75445</v>
      </c>
      <c r="E99" s="133">
        <f t="shared" si="40"/>
        <v>200000</v>
      </c>
      <c r="F99" s="133">
        <f t="shared" si="40"/>
        <v>200000</v>
      </c>
      <c r="G99" s="134">
        <f t="shared" si="40"/>
        <v>0</v>
      </c>
      <c r="H99" s="134">
        <f t="shared" si="40"/>
        <v>0</v>
      </c>
    </row>
    <row r="100" spans="1:8">
      <c r="A100" s="42" t="s">
        <v>53</v>
      </c>
      <c r="B100" s="139"/>
      <c r="C100" s="82"/>
      <c r="D100" s="140"/>
      <c r="E100" s="140">
        <v>150000</v>
      </c>
      <c r="F100" s="140">
        <v>150000</v>
      </c>
      <c r="G100" s="140"/>
      <c r="H100" s="140"/>
    </row>
    <row r="101" spans="1:8">
      <c r="A101" s="42" t="s">
        <v>54</v>
      </c>
      <c r="B101" s="139"/>
      <c r="C101" s="140">
        <v>52519</v>
      </c>
      <c r="D101" s="140">
        <v>75445</v>
      </c>
      <c r="E101" s="140">
        <v>50000</v>
      </c>
      <c r="F101" s="140">
        <v>50000</v>
      </c>
      <c r="G101" s="140"/>
      <c r="H101" s="140"/>
    </row>
    <row r="102" spans="1:8">
      <c r="A102" s="47" t="s">
        <v>67</v>
      </c>
      <c r="B102" s="139"/>
      <c r="C102" s="133">
        <f t="shared" ref="C102:H102" si="41">SUM(C103:C104)</f>
        <v>0</v>
      </c>
      <c r="D102" s="133">
        <f t="shared" si="41"/>
        <v>50000</v>
      </c>
      <c r="E102" s="133">
        <f t="shared" si="41"/>
        <v>100000</v>
      </c>
      <c r="F102" s="133">
        <f t="shared" si="41"/>
        <v>0</v>
      </c>
      <c r="G102" s="134">
        <f t="shared" si="41"/>
        <v>0</v>
      </c>
      <c r="H102" s="134">
        <f t="shared" si="41"/>
        <v>0</v>
      </c>
    </row>
    <row r="103" spans="1:8">
      <c r="A103" s="42" t="s">
        <v>53</v>
      </c>
      <c r="B103" s="139"/>
      <c r="C103" s="140">
        <v>0</v>
      </c>
      <c r="D103" s="140"/>
      <c r="E103" s="140"/>
      <c r="F103" s="140"/>
      <c r="G103" s="140"/>
      <c r="H103" s="140"/>
    </row>
    <row r="104" spans="1:8">
      <c r="A104" s="42" t="s">
        <v>54</v>
      </c>
      <c r="B104" s="139"/>
      <c r="C104" s="141">
        <v>0</v>
      </c>
      <c r="D104" s="140">
        <v>50000</v>
      </c>
      <c r="E104" s="140">
        <v>100000</v>
      </c>
      <c r="F104" s="140"/>
      <c r="G104" s="140"/>
      <c r="H104" s="140"/>
    </row>
    <row r="105" spans="1:8">
      <c r="A105" s="47" t="s">
        <v>90</v>
      </c>
      <c r="B105" s="139"/>
      <c r="C105" s="133">
        <f t="shared" ref="C105:H105" si="42">SUM(C106:C107)</f>
        <v>23000</v>
      </c>
      <c r="D105" s="133">
        <f t="shared" si="42"/>
        <v>43480</v>
      </c>
      <c r="E105" s="133">
        <f t="shared" si="42"/>
        <v>500000</v>
      </c>
      <c r="F105" s="133">
        <f t="shared" si="42"/>
        <v>500000</v>
      </c>
      <c r="G105" s="134">
        <f t="shared" si="42"/>
        <v>0</v>
      </c>
      <c r="H105" s="134">
        <f t="shared" si="42"/>
        <v>0</v>
      </c>
    </row>
    <row r="106" spans="1:8">
      <c r="A106" s="42" t="s">
        <v>53</v>
      </c>
      <c r="B106" s="139"/>
      <c r="C106" s="140">
        <v>0</v>
      </c>
      <c r="D106" s="140"/>
      <c r="E106" s="140">
        <v>375000</v>
      </c>
      <c r="F106" s="140">
        <v>375000</v>
      </c>
      <c r="G106" s="140"/>
      <c r="H106" s="140"/>
    </row>
    <row r="107" spans="1:8">
      <c r="A107" s="42" t="s">
        <v>54</v>
      </c>
      <c r="B107" s="139"/>
      <c r="C107" s="140">
        <v>23000</v>
      </c>
      <c r="D107" s="140">
        <v>43480</v>
      </c>
      <c r="E107" s="140">
        <v>125000</v>
      </c>
      <c r="F107" s="140">
        <v>125000</v>
      </c>
      <c r="G107" s="140"/>
      <c r="H107" s="140"/>
    </row>
    <row r="108" spans="1:8" ht="26.25">
      <c r="A108" s="48" t="s">
        <v>69</v>
      </c>
      <c r="B108" s="139"/>
      <c r="C108" s="133">
        <f t="shared" ref="C108:H108" si="43">SUM(C109:C110)</f>
        <v>368939</v>
      </c>
      <c r="D108" s="133">
        <f t="shared" si="43"/>
        <v>0</v>
      </c>
      <c r="E108" s="133">
        <f t="shared" si="43"/>
        <v>0</v>
      </c>
      <c r="F108" s="133">
        <f t="shared" si="43"/>
        <v>0</v>
      </c>
      <c r="G108" s="134">
        <f t="shared" si="43"/>
        <v>0</v>
      </c>
      <c r="H108" s="134">
        <f t="shared" si="43"/>
        <v>0</v>
      </c>
    </row>
    <row r="109" spans="1:8">
      <c r="A109" s="42" t="s">
        <v>53</v>
      </c>
      <c r="B109" s="139"/>
      <c r="C109" s="140">
        <f>238259-49058</f>
        <v>189201</v>
      </c>
      <c r="D109" s="140"/>
      <c r="E109" s="140"/>
      <c r="F109" s="140"/>
      <c r="G109" s="140"/>
      <c r="H109" s="140"/>
    </row>
    <row r="110" spans="1:8">
      <c r="A110" s="42" t="s">
        <v>54</v>
      </c>
      <c r="B110" s="139"/>
      <c r="C110" s="140">
        <v>179738</v>
      </c>
      <c r="D110" s="140"/>
      <c r="E110" s="140"/>
      <c r="F110" s="140"/>
      <c r="G110" s="140"/>
      <c r="H110" s="140"/>
    </row>
    <row r="111" spans="1:8" ht="39">
      <c r="A111" s="48" t="s">
        <v>91</v>
      </c>
      <c r="B111" s="139"/>
      <c r="C111" s="133">
        <f t="shared" ref="C111:H111" si="44">SUM(C112:C113)</f>
        <v>4406</v>
      </c>
      <c r="D111" s="133">
        <f t="shared" si="44"/>
        <v>0</v>
      </c>
      <c r="E111" s="133">
        <f t="shared" si="44"/>
        <v>0</v>
      </c>
      <c r="F111" s="133">
        <f t="shared" si="44"/>
        <v>0</v>
      </c>
      <c r="G111" s="134">
        <f t="shared" si="44"/>
        <v>0</v>
      </c>
      <c r="H111" s="134">
        <f t="shared" si="44"/>
        <v>0</v>
      </c>
    </row>
    <row r="112" spans="1:8">
      <c r="A112" s="42" t="s">
        <v>53</v>
      </c>
      <c r="B112" s="139"/>
      <c r="C112" s="140">
        <v>0</v>
      </c>
      <c r="D112" s="140"/>
      <c r="E112" s="140"/>
      <c r="F112" s="140"/>
      <c r="G112" s="140"/>
      <c r="H112" s="140"/>
    </row>
    <row r="113" spans="1:8">
      <c r="A113" s="42" t="s">
        <v>54</v>
      </c>
      <c r="B113" s="139"/>
      <c r="C113" s="141">
        <v>4406</v>
      </c>
      <c r="D113" s="141">
        <v>0</v>
      </c>
      <c r="E113" s="141">
        <v>0</v>
      </c>
      <c r="F113" s="141"/>
      <c r="G113" s="141"/>
      <c r="H113" s="141"/>
    </row>
    <row r="114" spans="1:8">
      <c r="A114" s="47" t="s">
        <v>92</v>
      </c>
      <c r="B114" s="139"/>
      <c r="C114" s="133">
        <f t="shared" ref="C114:H114" si="45">SUM(C115:C116)</f>
        <v>39463</v>
      </c>
      <c r="D114" s="133">
        <f t="shared" si="45"/>
        <v>0</v>
      </c>
      <c r="E114" s="133">
        <f t="shared" si="45"/>
        <v>0</v>
      </c>
      <c r="F114" s="133">
        <f t="shared" si="45"/>
        <v>0</v>
      </c>
      <c r="G114" s="134">
        <f t="shared" si="45"/>
        <v>0</v>
      </c>
      <c r="H114" s="134">
        <f t="shared" si="45"/>
        <v>0</v>
      </c>
    </row>
    <row r="115" spans="1:8">
      <c r="A115" s="42" t="s">
        <v>53</v>
      </c>
      <c r="B115" s="139"/>
      <c r="C115" s="140">
        <v>0</v>
      </c>
      <c r="D115" s="140"/>
      <c r="E115" s="140"/>
      <c r="F115" s="140"/>
      <c r="G115" s="140"/>
      <c r="H115" s="140"/>
    </row>
    <row r="116" spans="1:8">
      <c r="A116" s="42" t="s">
        <v>54</v>
      </c>
      <c r="B116" s="139"/>
      <c r="C116" s="140">
        <v>39463</v>
      </c>
      <c r="D116" s="141">
        <v>0</v>
      </c>
      <c r="E116" s="141">
        <v>0</v>
      </c>
      <c r="F116" s="141">
        <v>0</v>
      </c>
      <c r="G116" s="141">
        <v>0</v>
      </c>
      <c r="H116" s="141">
        <v>0</v>
      </c>
    </row>
    <row r="117" spans="1:8">
      <c r="A117" s="47" t="s">
        <v>103</v>
      </c>
      <c r="B117" s="139"/>
      <c r="C117" s="133">
        <f t="shared" ref="C117:H117" si="46">SUM(C118:C119)</f>
        <v>0</v>
      </c>
      <c r="D117" s="133">
        <f t="shared" si="46"/>
        <v>13200</v>
      </c>
      <c r="E117" s="133">
        <f t="shared" si="46"/>
        <v>0</v>
      </c>
      <c r="F117" s="133">
        <f t="shared" si="46"/>
        <v>0</v>
      </c>
      <c r="G117" s="134">
        <f t="shared" si="46"/>
        <v>0</v>
      </c>
      <c r="H117" s="134">
        <f t="shared" si="46"/>
        <v>0</v>
      </c>
    </row>
    <row r="118" spans="1:8">
      <c r="A118" s="42" t="s">
        <v>53</v>
      </c>
      <c r="B118" s="139"/>
      <c r="C118" s="140"/>
      <c r="D118" s="140"/>
      <c r="E118" s="140"/>
      <c r="F118" s="140"/>
      <c r="G118" s="140"/>
      <c r="H118" s="140"/>
    </row>
    <row r="119" spans="1:8">
      <c r="A119" s="42" t="s">
        <v>54</v>
      </c>
      <c r="B119" s="139"/>
      <c r="C119" s="140">
        <v>0</v>
      </c>
      <c r="D119" s="141">
        <v>13200</v>
      </c>
      <c r="E119" s="141"/>
      <c r="F119" s="141"/>
      <c r="G119" s="141"/>
      <c r="H119" s="141"/>
    </row>
    <row r="120" spans="1:8">
      <c r="A120" s="47" t="s">
        <v>104</v>
      </c>
      <c r="B120" s="139"/>
      <c r="C120" s="133">
        <f t="shared" ref="C120:H120" si="47">SUM(C121:C122)</f>
        <v>0</v>
      </c>
      <c r="D120" s="133">
        <f t="shared" si="47"/>
        <v>13100</v>
      </c>
      <c r="E120" s="133">
        <f t="shared" si="47"/>
        <v>0</v>
      </c>
      <c r="F120" s="133">
        <f t="shared" si="47"/>
        <v>0</v>
      </c>
      <c r="G120" s="134">
        <f t="shared" si="47"/>
        <v>0</v>
      </c>
      <c r="H120" s="134">
        <f t="shared" si="47"/>
        <v>0</v>
      </c>
    </row>
    <row r="121" spans="1:8">
      <c r="A121" s="42" t="s">
        <v>53</v>
      </c>
      <c r="B121" s="139"/>
      <c r="C121" s="140"/>
      <c r="D121" s="140"/>
      <c r="E121" s="140"/>
      <c r="F121" s="140"/>
      <c r="G121" s="140"/>
      <c r="H121" s="140"/>
    </row>
    <row r="122" spans="1:8">
      <c r="A122" s="42" t="s">
        <v>54</v>
      </c>
      <c r="B122" s="139"/>
      <c r="C122" s="140">
        <v>0</v>
      </c>
      <c r="D122" s="141">
        <v>13100</v>
      </c>
      <c r="E122" s="141"/>
      <c r="F122" s="141"/>
      <c r="G122" s="141"/>
      <c r="H122" s="141"/>
    </row>
    <row r="123" spans="1:8">
      <c r="A123" s="47" t="s">
        <v>70</v>
      </c>
      <c r="B123" s="139"/>
      <c r="C123" s="133">
        <f t="shared" ref="C123:H123" si="48">SUM(C124:C125)</f>
        <v>158880</v>
      </c>
      <c r="D123" s="133">
        <f t="shared" si="48"/>
        <v>0</v>
      </c>
      <c r="E123" s="133">
        <f t="shared" si="48"/>
        <v>0</v>
      </c>
      <c r="F123" s="133">
        <f t="shared" si="48"/>
        <v>0</v>
      </c>
      <c r="G123" s="134">
        <f t="shared" si="48"/>
        <v>0</v>
      </c>
      <c r="H123" s="134">
        <f t="shared" si="48"/>
        <v>0</v>
      </c>
    </row>
    <row r="124" spans="1:8">
      <c r="A124" s="42" t="s">
        <v>53</v>
      </c>
      <c r="B124" s="139"/>
      <c r="C124" s="140"/>
      <c r="D124" s="140"/>
      <c r="E124" s="140"/>
      <c r="F124" s="140"/>
      <c r="G124" s="140"/>
      <c r="H124" s="140"/>
    </row>
    <row r="125" spans="1:8">
      <c r="A125" s="42" t="s">
        <v>54</v>
      </c>
      <c r="B125" s="139"/>
      <c r="C125" s="140">
        <v>158880</v>
      </c>
      <c r="D125" s="140"/>
      <c r="E125" s="140"/>
      <c r="F125" s="140"/>
      <c r="G125" s="140"/>
      <c r="H125" s="140"/>
    </row>
    <row r="126" spans="1:8">
      <c r="A126" s="47" t="s">
        <v>105</v>
      </c>
      <c r="B126" s="139"/>
      <c r="C126" s="133">
        <f t="shared" ref="C126:H126" si="49">SUM(C127:C128)</f>
        <v>0</v>
      </c>
      <c r="D126" s="133">
        <f t="shared" si="49"/>
        <v>0</v>
      </c>
      <c r="E126" s="133">
        <f t="shared" si="49"/>
        <v>200000</v>
      </c>
      <c r="F126" s="133">
        <f t="shared" si="49"/>
        <v>200000</v>
      </c>
      <c r="G126" s="134">
        <f t="shared" si="49"/>
        <v>200000</v>
      </c>
      <c r="H126" s="134">
        <f t="shared" si="49"/>
        <v>200000</v>
      </c>
    </row>
    <row r="127" spans="1:8">
      <c r="A127" s="42" t="s">
        <v>53</v>
      </c>
      <c r="B127" s="139"/>
      <c r="C127" s="140"/>
      <c r="D127" s="140">
        <v>0</v>
      </c>
      <c r="E127" s="140"/>
      <c r="F127" s="140"/>
      <c r="G127" s="140"/>
      <c r="H127" s="140"/>
    </row>
    <row r="128" spans="1:8">
      <c r="A128" s="42" t="s">
        <v>54</v>
      </c>
      <c r="B128" s="139"/>
      <c r="C128" s="140">
        <v>0</v>
      </c>
      <c r="D128" s="141">
        <v>0</v>
      </c>
      <c r="E128" s="141">
        <v>200000</v>
      </c>
      <c r="F128" s="141">
        <v>200000</v>
      </c>
      <c r="G128" s="141">
        <v>200000</v>
      </c>
      <c r="H128" s="141">
        <v>200000</v>
      </c>
    </row>
    <row r="129" spans="1:8" ht="26.25">
      <c r="A129" s="47" t="s">
        <v>106</v>
      </c>
      <c r="B129" s="139"/>
      <c r="C129" s="133">
        <f t="shared" ref="C129:H129" si="50">SUM(C130:C131)</f>
        <v>0</v>
      </c>
      <c r="D129" s="133">
        <f t="shared" si="50"/>
        <v>0</v>
      </c>
      <c r="E129" s="133">
        <f t="shared" si="50"/>
        <v>1750000</v>
      </c>
      <c r="F129" s="133">
        <f t="shared" si="50"/>
        <v>1750000</v>
      </c>
      <c r="G129" s="134">
        <f t="shared" si="50"/>
        <v>0</v>
      </c>
      <c r="H129" s="134">
        <f t="shared" si="50"/>
        <v>0</v>
      </c>
    </row>
    <row r="130" spans="1:8">
      <c r="A130" s="42" t="s">
        <v>53</v>
      </c>
      <c r="B130" s="139"/>
      <c r="C130" s="140"/>
      <c r="D130" s="140">
        <v>0</v>
      </c>
      <c r="E130" s="140">
        <v>750000</v>
      </c>
      <c r="F130" s="140">
        <v>750000</v>
      </c>
      <c r="G130" s="140"/>
      <c r="H130" s="140"/>
    </row>
    <row r="131" spans="1:8">
      <c r="A131" s="42" t="s">
        <v>54</v>
      </c>
      <c r="B131" s="139"/>
      <c r="C131" s="140">
        <v>0</v>
      </c>
      <c r="D131" s="141">
        <v>0</v>
      </c>
      <c r="E131" s="141">
        <v>1000000</v>
      </c>
      <c r="F131" s="141">
        <v>1000000</v>
      </c>
      <c r="G131" s="141"/>
      <c r="H131" s="141"/>
    </row>
    <row r="132" spans="1:8">
      <c r="A132" s="47" t="s">
        <v>107</v>
      </c>
      <c r="B132" s="139"/>
      <c r="C132" s="133">
        <f t="shared" ref="C132:H132" si="51">SUM(C133:C134)</f>
        <v>0</v>
      </c>
      <c r="D132" s="133">
        <f t="shared" si="51"/>
        <v>30000</v>
      </c>
      <c r="E132" s="133">
        <f t="shared" si="51"/>
        <v>150000</v>
      </c>
      <c r="F132" s="133">
        <f t="shared" si="51"/>
        <v>200000</v>
      </c>
      <c r="G132" s="134">
        <f t="shared" si="51"/>
        <v>0</v>
      </c>
      <c r="H132" s="134">
        <f t="shared" si="51"/>
        <v>0</v>
      </c>
    </row>
    <row r="133" spans="1:8">
      <c r="A133" s="42" t="s">
        <v>53</v>
      </c>
      <c r="B133" s="139"/>
      <c r="C133" s="140"/>
      <c r="D133" s="140">
        <v>0</v>
      </c>
      <c r="E133" s="140">
        <v>50000</v>
      </c>
      <c r="F133" s="140"/>
      <c r="G133" s="140"/>
      <c r="H133" s="140"/>
    </row>
    <row r="134" spans="1:8">
      <c r="A134" s="42" t="s">
        <v>54</v>
      </c>
      <c r="B134" s="139"/>
      <c r="C134" s="140">
        <v>0</v>
      </c>
      <c r="D134" s="141">
        <v>30000</v>
      </c>
      <c r="E134" s="141">
        <v>100000</v>
      </c>
      <c r="F134" s="141">
        <v>200000</v>
      </c>
      <c r="G134" s="141"/>
      <c r="H134" s="141"/>
    </row>
    <row r="135" spans="1:8">
      <c r="A135" s="47" t="s">
        <v>93</v>
      </c>
      <c r="B135" s="139"/>
      <c r="C135" s="133">
        <f t="shared" ref="C135:H135" si="52">SUM(C136:C137)</f>
        <v>839</v>
      </c>
      <c r="D135" s="133">
        <f t="shared" si="52"/>
        <v>90043.6</v>
      </c>
      <c r="E135" s="133">
        <f t="shared" si="52"/>
        <v>0</v>
      </c>
      <c r="F135" s="133">
        <f t="shared" si="52"/>
        <v>0</v>
      </c>
      <c r="G135" s="134">
        <f t="shared" si="52"/>
        <v>0</v>
      </c>
      <c r="H135" s="134">
        <f t="shared" si="52"/>
        <v>0</v>
      </c>
    </row>
    <row r="136" spans="1:8">
      <c r="A136" s="42" t="s">
        <v>53</v>
      </c>
      <c r="B136" s="139"/>
      <c r="C136" s="140"/>
      <c r="D136" s="140">
        <v>53451.6</v>
      </c>
      <c r="E136" s="140"/>
      <c r="F136" s="140"/>
      <c r="G136" s="140"/>
      <c r="H136" s="140"/>
    </row>
    <row r="137" spans="1:8">
      <c r="A137" s="42" t="s">
        <v>54</v>
      </c>
      <c r="B137" s="139"/>
      <c r="C137" s="140">
        <v>839</v>
      </c>
      <c r="D137" s="141">
        <v>36592</v>
      </c>
      <c r="E137" s="141"/>
      <c r="F137" s="141"/>
      <c r="G137" s="141"/>
      <c r="H137" s="141"/>
    </row>
    <row r="138" spans="1:8" ht="26.25">
      <c r="A138" s="47" t="s">
        <v>108</v>
      </c>
      <c r="B138" s="139"/>
      <c r="C138" s="133">
        <f t="shared" ref="C138:H138" si="53">SUM(C139:C140)</f>
        <v>0</v>
      </c>
      <c r="D138" s="133">
        <f t="shared" si="53"/>
        <v>31035</v>
      </c>
      <c r="E138" s="133">
        <f t="shared" si="53"/>
        <v>0</v>
      </c>
      <c r="F138" s="133">
        <f t="shared" si="53"/>
        <v>0</v>
      </c>
      <c r="G138" s="134">
        <f t="shared" si="53"/>
        <v>0</v>
      </c>
      <c r="H138" s="134">
        <f t="shared" si="53"/>
        <v>0</v>
      </c>
    </row>
    <row r="139" spans="1:8">
      <c r="A139" s="42" t="s">
        <v>53</v>
      </c>
      <c r="B139" s="139"/>
      <c r="C139" s="140"/>
      <c r="D139" s="140"/>
      <c r="E139" s="140"/>
      <c r="F139" s="140"/>
      <c r="G139" s="140"/>
      <c r="H139" s="140"/>
    </row>
    <row r="140" spans="1:8">
      <c r="A140" s="42" t="s">
        <v>54</v>
      </c>
      <c r="B140" s="139"/>
      <c r="C140" s="140">
        <v>0</v>
      </c>
      <c r="D140" s="141">
        <v>31035</v>
      </c>
      <c r="E140" s="141"/>
      <c r="F140" s="141"/>
      <c r="G140" s="141"/>
      <c r="H140" s="141"/>
    </row>
    <row r="141" spans="1:8">
      <c r="A141" s="47" t="s">
        <v>94</v>
      </c>
      <c r="B141" s="139"/>
      <c r="C141" s="133">
        <f t="shared" ref="C141:H141" si="54">SUM(C142:C143)</f>
        <v>49664</v>
      </c>
      <c r="D141" s="133">
        <f t="shared" si="54"/>
        <v>0</v>
      </c>
      <c r="E141" s="133">
        <f t="shared" si="54"/>
        <v>0</v>
      </c>
      <c r="F141" s="133">
        <f t="shared" si="54"/>
        <v>0</v>
      </c>
      <c r="G141" s="134">
        <f t="shared" si="54"/>
        <v>0</v>
      </c>
      <c r="H141" s="134">
        <f t="shared" si="54"/>
        <v>0</v>
      </c>
    </row>
    <row r="142" spans="1:8">
      <c r="A142" s="42" t="s">
        <v>53</v>
      </c>
      <c r="B142" s="139"/>
      <c r="C142" s="140"/>
      <c r="D142" s="140"/>
      <c r="E142" s="140"/>
      <c r="F142" s="140"/>
      <c r="G142" s="140"/>
      <c r="H142" s="140"/>
    </row>
    <row r="143" spans="1:8">
      <c r="A143" s="42" t="s">
        <v>54</v>
      </c>
      <c r="B143" s="139"/>
      <c r="C143" s="140">
        <v>49664</v>
      </c>
      <c r="D143" s="141">
        <v>0</v>
      </c>
      <c r="E143" s="141"/>
      <c r="F143" s="141"/>
      <c r="G143" s="141"/>
      <c r="H143" s="141"/>
    </row>
    <row r="144" spans="1:8">
      <c r="A144" s="47" t="s">
        <v>109</v>
      </c>
      <c r="B144" s="139"/>
      <c r="C144" s="133">
        <f t="shared" ref="C144:H144" si="55">SUM(C145:C146)</f>
        <v>0</v>
      </c>
      <c r="D144" s="133">
        <f t="shared" si="55"/>
        <v>12200</v>
      </c>
      <c r="E144" s="133">
        <f t="shared" si="55"/>
        <v>0</v>
      </c>
      <c r="F144" s="133">
        <f t="shared" si="55"/>
        <v>0</v>
      </c>
      <c r="G144" s="134">
        <f t="shared" si="55"/>
        <v>0</v>
      </c>
      <c r="H144" s="134">
        <f t="shared" si="55"/>
        <v>0</v>
      </c>
    </row>
    <row r="145" spans="1:8">
      <c r="A145" s="42" t="s">
        <v>53</v>
      </c>
      <c r="B145" s="139"/>
      <c r="C145" s="140"/>
      <c r="D145" s="140"/>
      <c r="E145" s="140"/>
      <c r="F145" s="140"/>
      <c r="G145" s="140"/>
      <c r="H145" s="140"/>
    </row>
    <row r="146" spans="1:8">
      <c r="A146" s="42" t="s">
        <v>54</v>
      </c>
      <c r="B146" s="139"/>
      <c r="C146" s="140"/>
      <c r="D146" s="141">
        <v>12200</v>
      </c>
      <c r="E146" s="141"/>
      <c r="F146" s="141"/>
      <c r="G146" s="141"/>
      <c r="H146" s="141"/>
    </row>
    <row r="147" spans="1:8" ht="26.25">
      <c r="A147" s="47" t="s">
        <v>95</v>
      </c>
      <c r="B147" s="139"/>
      <c r="C147" s="133">
        <f t="shared" ref="C147:H147" si="56">SUM(C148:C149)</f>
        <v>58698</v>
      </c>
      <c r="D147" s="133">
        <f t="shared" si="56"/>
        <v>6200</v>
      </c>
      <c r="E147" s="133">
        <f t="shared" si="56"/>
        <v>0</v>
      </c>
      <c r="F147" s="133">
        <f t="shared" si="56"/>
        <v>0</v>
      </c>
      <c r="G147" s="134">
        <f t="shared" si="56"/>
        <v>0</v>
      </c>
      <c r="H147" s="134">
        <f t="shared" si="56"/>
        <v>0</v>
      </c>
    </row>
    <row r="148" spans="1:8">
      <c r="A148" s="42" t="s">
        <v>53</v>
      </c>
      <c r="B148" s="139"/>
      <c r="C148" s="140"/>
      <c r="D148" s="140"/>
      <c r="E148" s="140"/>
      <c r="F148" s="140"/>
      <c r="G148" s="140"/>
      <c r="H148" s="140"/>
    </row>
    <row r="149" spans="1:8">
      <c r="A149" s="42" t="s">
        <v>54</v>
      </c>
      <c r="B149" s="139"/>
      <c r="C149" s="140">
        <v>58698</v>
      </c>
      <c r="D149" s="140">
        <v>6200</v>
      </c>
      <c r="E149" s="140"/>
      <c r="F149" s="140"/>
      <c r="G149" s="140"/>
      <c r="H149" s="140"/>
    </row>
    <row r="150" spans="1:8">
      <c r="A150" s="47" t="s">
        <v>110</v>
      </c>
      <c r="B150" s="139"/>
      <c r="C150" s="133">
        <f t="shared" ref="C150:H150" si="57">SUM(C151:C152)</f>
        <v>0</v>
      </c>
      <c r="D150" s="133">
        <f t="shared" si="57"/>
        <v>16650</v>
      </c>
      <c r="E150" s="133">
        <f t="shared" si="57"/>
        <v>0</v>
      </c>
      <c r="F150" s="133">
        <f t="shared" si="57"/>
        <v>0</v>
      </c>
      <c r="G150" s="134">
        <f t="shared" si="57"/>
        <v>0</v>
      </c>
      <c r="H150" s="134">
        <f t="shared" si="57"/>
        <v>0</v>
      </c>
    </row>
    <row r="151" spans="1:8">
      <c r="A151" s="42" t="s">
        <v>53</v>
      </c>
      <c r="B151" s="139"/>
      <c r="C151" s="140"/>
      <c r="D151" s="141">
        <v>12488</v>
      </c>
      <c r="E151" s="141"/>
      <c r="F151" s="141"/>
      <c r="G151" s="141"/>
      <c r="H151" s="141"/>
    </row>
    <row r="152" spans="1:8">
      <c r="A152" s="42" t="s">
        <v>54</v>
      </c>
      <c r="B152" s="139"/>
      <c r="C152" s="140">
        <v>0</v>
      </c>
      <c r="D152" s="141">
        <v>4162</v>
      </c>
      <c r="E152" s="141"/>
      <c r="F152" s="141"/>
      <c r="G152" s="141"/>
      <c r="H152" s="141"/>
    </row>
    <row r="153" spans="1:8">
      <c r="A153" s="47" t="s">
        <v>96</v>
      </c>
      <c r="B153" s="139"/>
      <c r="C153" s="133">
        <f t="shared" ref="C153:H153" si="58">SUM(C154:C155)</f>
        <v>22775</v>
      </c>
      <c r="D153" s="133">
        <f t="shared" si="58"/>
        <v>0</v>
      </c>
      <c r="E153" s="133">
        <f t="shared" si="58"/>
        <v>0</v>
      </c>
      <c r="F153" s="133">
        <f t="shared" si="58"/>
        <v>0</v>
      </c>
      <c r="G153" s="134">
        <f t="shared" si="58"/>
        <v>0</v>
      </c>
      <c r="H153" s="134">
        <f t="shared" si="58"/>
        <v>0</v>
      </c>
    </row>
    <row r="154" spans="1:8">
      <c r="A154" s="42" t="s">
        <v>53</v>
      </c>
      <c r="B154" s="139"/>
      <c r="C154" s="140"/>
      <c r="D154" s="140"/>
      <c r="E154" s="140"/>
      <c r="F154" s="140"/>
      <c r="G154" s="140"/>
      <c r="H154" s="140"/>
    </row>
    <row r="155" spans="1:8">
      <c r="A155" s="42" t="s">
        <v>54</v>
      </c>
      <c r="B155" s="139"/>
      <c r="C155" s="140">
        <v>22775</v>
      </c>
      <c r="D155" s="140"/>
      <c r="E155" s="140"/>
      <c r="F155" s="140"/>
      <c r="G155" s="140"/>
      <c r="H155" s="140"/>
    </row>
    <row r="156" spans="1:8">
      <c r="A156" s="47" t="s">
        <v>111</v>
      </c>
      <c r="B156" s="139"/>
      <c r="C156" s="133">
        <f t="shared" ref="C156:H156" si="59">SUM(C157:C158)</f>
        <v>0</v>
      </c>
      <c r="D156" s="133">
        <f t="shared" si="59"/>
        <v>15601</v>
      </c>
      <c r="E156" s="133">
        <f t="shared" si="59"/>
        <v>0</v>
      </c>
      <c r="F156" s="133">
        <f t="shared" si="59"/>
        <v>0</v>
      </c>
      <c r="G156" s="134">
        <f t="shared" si="59"/>
        <v>0</v>
      </c>
      <c r="H156" s="134">
        <f t="shared" si="59"/>
        <v>0</v>
      </c>
    </row>
    <row r="157" spans="1:8">
      <c r="A157" s="42" t="s">
        <v>53</v>
      </c>
      <c r="B157" s="139"/>
      <c r="C157" s="140"/>
      <c r="D157" s="140"/>
      <c r="E157" s="140"/>
      <c r="F157" s="140"/>
      <c r="G157" s="140"/>
      <c r="H157" s="140"/>
    </row>
    <row r="158" spans="1:8">
      <c r="A158" s="42" t="s">
        <v>54</v>
      </c>
      <c r="B158" s="139"/>
      <c r="C158" s="140">
        <v>0</v>
      </c>
      <c r="D158" s="141">
        <v>15601</v>
      </c>
      <c r="E158" s="141"/>
      <c r="F158" s="141"/>
      <c r="G158" s="141"/>
      <c r="H158" s="141"/>
    </row>
    <row r="159" spans="1:8" ht="26.25">
      <c r="A159" s="47" t="s">
        <v>97</v>
      </c>
      <c r="B159" s="139"/>
      <c r="C159" s="133">
        <f t="shared" ref="C159:H159" si="60">SUM(C160:C161)</f>
        <v>37600</v>
      </c>
      <c r="D159" s="133">
        <f t="shared" si="60"/>
        <v>0</v>
      </c>
      <c r="E159" s="133">
        <f t="shared" si="60"/>
        <v>0</v>
      </c>
      <c r="F159" s="133">
        <f t="shared" si="60"/>
        <v>0</v>
      </c>
      <c r="G159" s="134">
        <f t="shared" si="60"/>
        <v>0</v>
      </c>
      <c r="H159" s="134">
        <f t="shared" si="60"/>
        <v>0</v>
      </c>
    </row>
    <row r="160" spans="1:8">
      <c r="A160" s="42" t="s">
        <v>53</v>
      </c>
      <c r="B160" s="139"/>
      <c r="C160" s="140"/>
      <c r="D160" s="140"/>
      <c r="E160" s="140"/>
      <c r="F160" s="140"/>
      <c r="G160" s="140"/>
      <c r="H160" s="140"/>
    </row>
    <row r="161" spans="1:9">
      <c r="A161" s="42" t="s">
        <v>54</v>
      </c>
      <c r="B161" s="139"/>
      <c r="C161" s="140">
        <v>37600</v>
      </c>
      <c r="D161" s="140"/>
      <c r="E161" s="140"/>
      <c r="F161" s="140"/>
      <c r="G161" s="140"/>
      <c r="H161" s="140"/>
    </row>
    <row r="162" spans="1:9">
      <c r="A162" s="47" t="s">
        <v>112</v>
      </c>
      <c r="B162" s="139"/>
      <c r="C162" s="133">
        <f t="shared" ref="C162:H162" si="61">SUM(C163:C164)</f>
        <v>0</v>
      </c>
      <c r="D162" s="133">
        <f t="shared" si="61"/>
        <v>12200</v>
      </c>
      <c r="E162" s="133">
        <f t="shared" si="61"/>
        <v>0</v>
      </c>
      <c r="F162" s="133">
        <f t="shared" si="61"/>
        <v>0</v>
      </c>
      <c r="G162" s="134">
        <f t="shared" si="61"/>
        <v>0</v>
      </c>
      <c r="H162" s="134">
        <f t="shared" si="61"/>
        <v>0</v>
      </c>
    </row>
    <row r="163" spans="1:9">
      <c r="A163" s="42" t="s">
        <v>53</v>
      </c>
      <c r="B163" s="139"/>
      <c r="C163" s="140"/>
      <c r="D163" s="140"/>
      <c r="E163" s="140"/>
      <c r="F163" s="140"/>
      <c r="G163" s="140"/>
      <c r="H163" s="140"/>
    </row>
    <row r="164" spans="1:9">
      <c r="A164" s="42" t="s">
        <v>54</v>
      </c>
      <c r="B164" s="139"/>
      <c r="C164" s="140">
        <v>0</v>
      </c>
      <c r="D164" s="141">
        <v>12200</v>
      </c>
      <c r="E164" s="141"/>
      <c r="F164" s="141"/>
      <c r="G164" s="141"/>
      <c r="H164" s="141"/>
    </row>
    <row r="165" spans="1:9" ht="26.25">
      <c r="A165" s="47" t="s">
        <v>98</v>
      </c>
      <c r="B165" s="139"/>
      <c r="C165" s="133">
        <f t="shared" ref="C165:H165" si="62">SUM(C166:C167)</f>
        <v>25219</v>
      </c>
      <c r="D165" s="133">
        <f t="shared" si="62"/>
        <v>0</v>
      </c>
      <c r="E165" s="133">
        <f t="shared" si="62"/>
        <v>0</v>
      </c>
      <c r="F165" s="133">
        <f t="shared" si="62"/>
        <v>0</v>
      </c>
      <c r="G165" s="134">
        <f t="shared" si="62"/>
        <v>0</v>
      </c>
      <c r="H165" s="134">
        <f t="shared" si="62"/>
        <v>0</v>
      </c>
    </row>
    <row r="166" spans="1:9">
      <c r="A166" s="42" t="s">
        <v>53</v>
      </c>
      <c r="B166" s="139"/>
      <c r="C166" s="140"/>
      <c r="D166" s="140"/>
      <c r="E166" s="140"/>
      <c r="F166" s="140"/>
      <c r="G166" s="140"/>
      <c r="H166" s="140"/>
    </row>
    <row r="167" spans="1:9">
      <c r="A167" s="42" t="s">
        <v>54</v>
      </c>
      <c r="B167" s="139"/>
      <c r="C167" s="140">
        <v>25219</v>
      </c>
      <c r="D167" s="140"/>
      <c r="E167" s="140"/>
      <c r="F167" s="140"/>
      <c r="G167" s="140"/>
      <c r="H167" s="140"/>
    </row>
    <row r="168" spans="1:9">
      <c r="A168" s="47" t="s">
        <v>113</v>
      </c>
      <c r="B168" s="139"/>
      <c r="C168" s="133">
        <f t="shared" ref="C168:H168" si="63">SUM(C169:C170)</f>
        <v>0</v>
      </c>
      <c r="D168" s="133">
        <f t="shared" si="63"/>
        <v>16000</v>
      </c>
      <c r="E168" s="133">
        <f t="shared" si="63"/>
        <v>0</v>
      </c>
      <c r="F168" s="133">
        <f t="shared" si="63"/>
        <v>0</v>
      </c>
      <c r="G168" s="134">
        <f t="shared" si="63"/>
        <v>0</v>
      </c>
      <c r="H168" s="134">
        <f t="shared" si="63"/>
        <v>0</v>
      </c>
    </row>
    <row r="169" spans="1:9">
      <c r="A169" s="42" t="s">
        <v>53</v>
      </c>
      <c r="B169" s="139"/>
      <c r="C169" s="140"/>
      <c r="D169" s="140"/>
      <c r="E169" s="140"/>
      <c r="F169" s="140"/>
      <c r="G169" s="140"/>
      <c r="H169" s="140"/>
    </row>
    <row r="170" spans="1:9">
      <c r="A170" s="42" t="s">
        <v>54</v>
      </c>
      <c r="B170" s="139"/>
      <c r="C170" s="140">
        <v>0</v>
      </c>
      <c r="D170" s="141">
        <v>16000</v>
      </c>
      <c r="E170" s="141"/>
      <c r="F170" s="141"/>
      <c r="G170" s="141"/>
      <c r="H170" s="141"/>
    </row>
    <row r="171" spans="1:9" ht="26.25">
      <c r="A171" s="49" t="s">
        <v>99</v>
      </c>
      <c r="B171" s="139"/>
      <c r="C171" s="133">
        <f t="shared" ref="C171:H171" si="64">SUM(C172:C173)</f>
        <v>86999</v>
      </c>
      <c r="D171" s="133">
        <f t="shared" si="64"/>
        <v>0</v>
      </c>
      <c r="E171" s="133">
        <f t="shared" si="64"/>
        <v>0</v>
      </c>
      <c r="F171" s="133">
        <f t="shared" si="64"/>
        <v>0</v>
      </c>
      <c r="G171" s="134">
        <f t="shared" si="64"/>
        <v>0</v>
      </c>
      <c r="H171" s="134">
        <f t="shared" si="64"/>
        <v>0</v>
      </c>
    </row>
    <row r="172" spans="1:9">
      <c r="A172" s="42" t="s">
        <v>53</v>
      </c>
      <c r="B172" s="139"/>
      <c r="C172" s="140">
        <v>85640</v>
      </c>
      <c r="D172" s="140"/>
      <c r="E172" s="140"/>
      <c r="F172" s="140"/>
      <c r="G172" s="140"/>
      <c r="H172" s="140"/>
    </row>
    <row r="173" spans="1:9">
      <c r="A173" s="42" t="s">
        <v>54</v>
      </c>
      <c r="B173" s="139"/>
      <c r="C173" s="140">
        <v>1359</v>
      </c>
      <c r="D173" s="140"/>
      <c r="E173" s="140"/>
      <c r="F173" s="140"/>
      <c r="G173" s="140"/>
      <c r="H173" s="140"/>
    </row>
    <row r="174" spans="1:9">
      <c r="A174" s="43" t="s">
        <v>63</v>
      </c>
      <c r="B174" s="135"/>
      <c r="C174" s="135">
        <f t="shared" ref="C174:H174" si="65">SUM(C175:C176)</f>
        <v>1774060</v>
      </c>
      <c r="D174" s="135">
        <f t="shared" si="65"/>
        <v>895154.6</v>
      </c>
      <c r="E174" s="135">
        <f t="shared" si="65"/>
        <v>3400000</v>
      </c>
      <c r="F174" s="135">
        <f t="shared" si="65"/>
        <v>3350000</v>
      </c>
      <c r="G174" s="136">
        <f t="shared" si="65"/>
        <v>700000</v>
      </c>
      <c r="H174" s="136">
        <f t="shared" si="65"/>
        <v>700000</v>
      </c>
      <c r="I174" s="16">
        <f ca="1">SUM(H174:I90174)</f>
        <v>0</v>
      </c>
    </row>
    <row r="175" spans="1:9">
      <c r="A175" s="42" t="s">
        <v>53</v>
      </c>
      <c r="B175" s="103"/>
      <c r="C175" s="103">
        <f t="shared" ref="C175:D175" si="66">+C94+C97+C100+C103+C106+C109+C112+C115+C118+C121+C124+C136+C148+C145+C151+C154+C139+C142+C163+C160+C169+C166+C172</f>
        <v>403161</v>
      </c>
      <c r="D175" s="103">
        <f t="shared" si="66"/>
        <v>65939.600000000006</v>
      </c>
      <c r="E175" s="103">
        <f>+E94+E97+E100+E103+E106+E109+E112+E115+E118+E121+E124+E127+E130+E133+E136+E148+E145+E151+E154+E139+E142+E163+E160+E169+E166+E172</f>
        <v>1325000</v>
      </c>
      <c r="F175" s="103">
        <f>+F94+F97+F100+F103+F106+F109+F112+F115+F118+F121+F124+F127+F130+F133+F136+F148+F145+F151+F154+F139+F142+F163+F160+F169+F166+F172</f>
        <v>1275000</v>
      </c>
      <c r="G175" s="103">
        <f>+G94+G97+G100+G103+G106+G109+G112+G115+G118+G121+G124+G127+G130+G133+G136+G148+G145+G151+G154+G139+G142+G163+G160+G169+G166+G172</f>
        <v>0</v>
      </c>
      <c r="H175" s="103">
        <f>+H94+H97+H100+H103+H106+H109+H112+H115+H118+H121+H124+H127+H130+H133+H136+H148+H145+H151+H154+H139+H142+H163+H160+H169+H166+H172</f>
        <v>0</v>
      </c>
    </row>
    <row r="176" spans="1:9" ht="16.5" thickBot="1">
      <c r="A176" s="44" t="s">
        <v>54</v>
      </c>
      <c r="B176" s="137"/>
      <c r="C176" s="138">
        <f t="shared" ref="C176:D176" si="67">C95+C98+C101+C104+C107+C110+C113+C116+C119+C122+C125+C137+C140+C143+C146+C149+C152+C155+C158+C161+C164+C167+C170+C173</f>
        <v>1370899</v>
      </c>
      <c r="D176" s="138">
        <f t="shared" si="67"/>
        <v>829215</v>
      </c>
      <c r="E176" s="138">
        <f>E95+E98+E101+E104+E107+E110+E113+E116+E119+E122+E125+E128+E131+E134+E137+E140+E143+E146+E149+E152+E155+E158+E161+E164+E167+E170+E173</f>
        <v>2075000</v>
      </c>
      <c r="F176" s="138">
        <f>F95+F98+F101+F104+F107+F110+F113+F116+F119+F122+F125+F128+F131+F134+F137+F140+F143+F146+F149+F152+F155+F158+F161+F164+F167+F170+F173</f>
        <v>2075000</v>
      </c>
      <c r="G176" s="138">
        <f>G95+G98+G101+G104+G107+G110+G113+G116+G119+G122+G125+G128+G131+G134+G137+G140+G143+G146+G149+G152+G155+G158+G161+G164+G167+G170+G173</f>
        <v>700000</v>
      </c>
      <c r="H176" s="138">
        <f>H95+H98+H101+H104+H107+H110+H113+H116+H119+H122+H125+H128+H131+H134+H137+H140+H143+H146+H149+H152+H155+H158+H161+H164+H167+H170+H173</f>
        <v>700000</v>
      </c>
    </row>
  </sheetData>
  <conditionalFormatting sqref="B49:H49">
    <cfRule type="cellIs" dxfId="2" priority="4" stopIfTrue="1" operator="lessThan">
      <formula>0</formula>
    </cfRule>
  </conditionalFormatting>
  <conditionalFormatting sqref="C20:H20">
    <cfRule type="cellIs" dxfId="1" priority="1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O6" sqref="O6"/>
    </sheetView>
  </sheetViews>
  <sheetFormatPr defaultRowHeight="15.75"/>
  <cols>
    <col min="1" max="1" width="40.5" customWidth="1"/>
    <col min="2" max="2" width="10.5" customWidth="1"/>
    <col min="3" max="3" width="10.75" customWidth="1"/>
    <col min="4" max="7" width="9.25" bestFit="1" customWidth="1"/>
    <col min="8" max="8" width="9.5" customWidth="1"/>
    <col min="10" max="10" width="9.75" customWidth="1"/>
    <col min="257" max="257" width="40.5" customWidth="1"/>
    <col min="258" max="258" width="10.5" customWidth="1"/>
    <col min="259" max="259" width="10.75" customWidth="1"/>
    <col min="260" max="263" width="9.25" bestFit="1" customWidth="1"/>
    <col min="264" max="264" width="9.5" customWidth="1"/>
    <col min="266" max="266" width="9.75" customWidth="1"/>
    <col min="513" max="513" width="40.5" customWidth="1"/>
    <col min="514" max="514" width="10.5" customWidth="1"/>
    <col min="515" max="515" width="10.75" customWidth="1"/>
    <col min="516" max="519" width="9.25" bestFit="1" customWidth="1"/>
    <col min="520" max="520" width="9.5" customWidth="1"/>
    <col min="522" max="522" width="9.75" customWidth="1"/>
    <col min="769" max="769" width="40.5" customWidth="1"/>
    <col min="770" max="770" width="10.5" customWidth="1"/>
    <col min="771" max="771" width="10.75" customWidth="1"/>
    <col min="772" max="775" width="9.25" bestFit="1" customWidth="1"/>
    <col min="776" max="776" width="9.5" customWidth="1"/>
    <col min="778" max="778" width="9.75" customWidth="1"/>
    <col min="1025" max="1025" width="40.5" customWidth="1"/>
    <col min="1026" max="1026" width="10.5" customWidth="1"/>
    <col min="1027" max="1027" width="10.75" customWidth="1"/>
    <col min="1028" max="1031" width="9.25" bestFit="1" customWidth="1"/>
    <col min="1032" max="1032" width="9.5" customWidth="1"/>
    <col min="1034" max="1034" width="9.75" customWidth="1"/>
    <col min="1281" max="1281" width="40.5" customWidth="1"/>
    <col min="1282" max="1282" width="10.5" customWidth="1"/>
    <col min="1283" max="1283" width="10.75" customWidth="1"/>
    <col min="1284" max="1287" width="9.25" bestFit="1" customWidth="1"/>
    <col min="1288" max="1288" width="9.5" customWidth="1"/>
    <col min="1290" max="1290" width="9.75" customWidth="1"/>
    <col min="1537" max="1537" width="40.5" customWidth="1"/>
    <col min="1538" max="1538" width="10.5" customWidth="1"/>
    <col min="1539" max="1539" width="10.75" customWidth="1"/>
    <col min="1540" max="1543" width="9.25" bestFit="1" customWidth="1"/>
    <col min="1544" max="1544" width="9.5" customWidth="1"/>
    <col min="1546" max="1546" width="9.75" customWidth="1"/>
    <col min="1793" max="1793" width="40.5" customWidth="1"/>
    <col min="1794" max="1794" width="10.5" customWidth="1"/>
    <col min="1795" max="1795" width="10.75" customWidth="1"/>
    <col min="1796" max="1799" width="9.25" bestFit="1" customWidth="1"/>
    <col min="1800" max="1800" width="9.5" customWidth="1"/>
    <col min="1802" max="1802" width="9.75" customWidth="1"/>
    <col min="2049" max="2049" width="40.5" customWidth="1"/>
    <col min="2050" max="2050" width="10.5" customWidth="1"/>
    <col min="2051" max="2051" width="10.75" customWidth="1"/>
    <col min="2052" max="2055" width="9.25" bestFit="1" customWidth="1"/>
    <col min="2056" max="2056" width="9.5" customWidth="1"/>
    <col min="2058" max="2058" width="9.75" customWidth="1"/>
    <col min="2305" max="2305" width="40.5" customWidth="1"/>
    <col min="2306" max="2306" width="10.5" customWidth="1"/>
    <col min="2307" max="2307" width="10.75" customWidth="1"/>
    <col min="2308" max="2311" width="9.25" bestFit="1" customWidth="1"/>
    <col min="2312" max="2312" width="9.5" customWidth="1"/>
    <col min="2314" max="2314" width="9.75" customWidth="1"/>
    <col min="2561" max="2561" width="40.5" customWidth="1"/>
    <col min="2562" max="2562" width="10.5" customWidth="1"/>
    <col min="2563" max="2563" width="10.75" customWidth="1"/>
    <col min="2564" max="2567" width="9.25" bestFit="1" customWidth="1"/>
    <col min="2568" max="2568" width="9.5" customWidth="1"/>
    <col min="2570" max="2570" width="9.75" customWidth="1"/>
    <col min="2817" max="2817" width="40.5" customWidth="1"/>
    <col min="2818" max="2818" width="10.5" customWidth="1"/>
    <col min="2819" max="2819" width="10.75" customWidth="1"/>
    <col min="2820" max="2823" width="9.25" bestFit="1" customWidth="1"/>
    <col min="2824" max="2824" width="9.5" customWidth="1"/>
    <col min="2826" max="2826" width="9.75" customWidth="1"/>
    <col min="3073" max="3073" width="40.5" customWidth="1"/>
    <col min="3074" max="3074" width="10.5" customWidth="1"/>
    <col min="3075" max="3075" width="10.75" customWidth="1"/>
    <col min="3076" max="3079" width="9.25" bestFit="1" customWidth="1"/>
    <col min="3080" max="3080" width="9.5" customWidth="1"/>
    <col min="3082" max="3082" width="9.75" customWidth="1"/>
    <col min="3329" max="3329" width="40.5" customWidth="1"/>
    <col min="3330" max="3330" width="10.5" customWidth="1"/>
    <col min="3331" max="3331" width="10.75" customWidth="1"/>
    <col min="3332" max="3335" width="9.25" bestFit="1" customWidth="1"/>
    <col min="3336" max="3336" width="9.5" customWidth="1"/>
    <col min="3338" max="3338" width="9.75" customWidth="1"/>
    <col min="3585" max="3585" width="40.5" customWidth="1"/>
    <col min="3586" max="3586" width="10.5" customWidth="1"/>
    <col min="3587" max="3587" width="10.75" customWidth="1"/>
    <col min="3588" max="3591" width="9.25" bestFit="1" customWidth="1"/>
    <col min="3592" max="3592" width="9.5" customWidth="1"/>
    <col min="3594" max="3594" width="9.75" customWidth="1"/>
    <col min="3841" max="3841" width="40.5" customWidth="1"/>
    <col min="3842" max="3842" width="10.5" customWidth="1"/>
    <col min="3843" max="3843" width="10.75" customWidth="1"/>
    <col min="3844" max="3847" width="9.25" bestFit="1" customWidth="1"/>
    <col min="3848" max="3848" width="9.5" customWidth="1"/>
    <col min="3850" max="3850" width="9.75" customWidth="1"/>
    <col min="4097" max="4097" width="40.5" customWidth="1"/>
    <col min="4098" max="4098" width="10.5" customWidth="1"/>
    <col min="4099" max="4099" width="10.75" customWidth="1"/>
    <col min="4100" max="4103" width="9.25" bestFit="1" customWidth="1"/>
    <col min="4104" max="4104" width="9.5" customWidth="1"/>
    <col min="4106" max="4106" width="9.75" customWidth="1"/>
    <col min="4353" max="4353" width="40.5" customWidth="1"/>
    <col min="4354" max="4354" width="10.5" customWidth="1"/>
    <col min="4355" max="4355" width="10.75" customWidth="1"/>
    <col min="4356" max="4359" width="9.25" bestFit="1" customWidth="1"/>
    <col min="4360" max="4360" width="9.5" customWidth="1"/>
    <col min="4362" max="4362" width="9.75" customWidth="1"/>
    <col min="4609" max="4609" width="40.5" customWidth="1"/>
    <col min="4610" max="4610" width="10.5" customWidth="1"/>
    <col min="4611" max="4611" width="10.75" customWidth="1"/>
    <col min="4612" max="4615" width="9.25" bestFit="1" customWidth="1"/>
    <col min="4616" max="4616" width="9.5" customWidth="1"/>
    <col min="4618" max="4618" width="9.75" customWidth="1"/>
    <col min="4865" max="4865" width="40.5" customWidth="1"/>
    <col min="4866" max="4866" width="10.5" customWidth="1"/>
    <col min="4867" max="4867" width="10.75" customWidth="1"/>
    <col min="4868" max="4871" width="9.25" bestFit="1" customWidth="1"/>
    <col min="4872" max="4872" width="9.5" customWidth="1"/>
    <col min="4874" max="4874" width="9.75" customWidth="1"/>
    <col min="5121" max="5121" width="40.5" customWidth="1"/>
    <col min="5122" max="5122" width="10.5" customWidth="1"/>
    <col min="5123" max="5123" width="10.75" customWidth="1"/>
    <col min="5124" max="5127" width="9.25" bestFit="1" customWidth="1"/>
    <col min="5128" max="5128" width="9.5" customWidth="1"/>
    <col min="5130" max="5130" width="9.75" customWidth="1"/>
    <col min="5377" max="5377" width="40.5" customWidth="1"/>
    <col min="5378" max="5378" width="10.5" customWidth="1"/>
    <col min="5379" max="5379" width="10.75" customWidth="1"/>
    <col min="5380" max="5383" width="9.25" bestFit="1" customWidth="1"/>
    <col min="5384" max="5384" width="9.5" customWidth="1"/>
    <col min="5386" max="5386" width="9.75" customWidth="1"/>
    <col min="5633" max="5633" width="40.5" customWidth="1"/>
    <col min="5634" max="5634" width="10.5" customWidth="1"/>
    <col min="5635" max="5635" width="10.75" customWidth="1"/>
    <col min="5636" max="5639" width="9.25" bestFit="1" customWidth="1"/>
    <col min="5640" max="5640" width="9.5" customWidth="1"/>
    <col min="5642" max="5642" width="9.75" customWidth="1"/>
    <col min="5889" max="5889" width="40.5" customWidth="1"/>
    <col min="5890" max="5890" width="10.5" customWidth="1"/>
    <col min="5891" max="5891" width="10.75" customWidth="1"/>
    <col min="5892" max="5895" width="9.25" bestFit="1" customWidth="1"/>
    <col min="5896" max="5896" width="9.5" customWidth="1"/>
    <col min="5898" max="5898" width="9.75" customWidth="1"/>
    <col min="6145" max="6145" width="40.5" customWidth="1"/>
    <col min="6146" max="6146" width="10.5" customWidth="1"/>
    <col min="6147" max="6147" width="10.75" customWidth="1"/>
    <col min="6148" max="6151" width="9.25" bestFit="1" customWidth="1"/>
    <col min="6152" max="6152" width="9.5" customWidth="1"/>
    <col min="6154" max="6154" width="9.75" customWidth="1"/>
    <col min="6401" max="6401" width="40.5" customWidth="1"/>
    <col min="6402" max="6402" width="10.5" customWidth="1"/>
    <col min="6403" max="6403" width="10.75" customWidth="1"/>
    <col min="6404" max="6407" width="9.25" bestFit="1" customWidth="1"/>
    <col min="6408" max="6408" width="9.5" customWidth="1"/>
    <col min="6410" max="6410" width="9.75" customWidth="1"/>
    <col min="6657" max="6657" width="40.5" customWidth="1"/>
    <col min="6658" max="6658" width="10.5" customWidth="1"/>
    <col min="6659" max="6659" width="10.75" customWidth="1"/>
    <col min="6660" max="6663" width="9.25" bestFit="1" customWidth="1"/>
    <col min="6664" max="6664" width="9.5" customWidth="1"/>
    <col min="6666" max="6666" width="9.75" customWidth="1"/>
    <col min="6913" max="6913" width="40.5" customWidth="1"/>
    <col min="6914" max="6914" width="10.5" customWidth="1"/>
    <col min="6915" max="6915" width="10.75" customWidth="1"/>
    <col min="6916" max="6919" width="9.25" bestFit="1" customWidth="1"/>
    <col min="6920" max="6920" width="9.5" customWidth="1"/>
    <col min="6922" max="6922" width="9.75" customWidth="1"/>
    <col min="7169" max="7169" width="40.5" customWidth="1"/>
    <col min="7170" max="7170" width="10.5" customWidth="1"/>
    <col min="7171" max="7171" width="10.75" customWidth="1"/>
    <col min="7172" max="7175" width="9.25" bestFit="1" customWidth="1"/>
    <col min="7176" max="7176" width="9.5" customWidth="1"/>
    <col min="7178" max="7178" width="9.75" customWidth="1"/>
    <col min="7425" max="7425" width="40.5" customWidth="1"/>
    <col min="7426" max="7426" width="10.5" customWidth="1"/>
    <col min="7427" max="7427" width="10.75" customWidth="1"/>
    <col min="7428" max="7431" width="9.25" bestFit="1" customWidth="1"/>
    <col min="7432" max="7432" width="9.5" customWidth="1"/>
    <col min="7434" max="7434" width="9.75" customWidth="1"/>
    <col min="7681" max="7681" width="40.5" customWidth="1"/>
    <col min="7682" max="7682" width="10.5" customWidth="1"/>
    <col min="7683" max="7683" width="10.75" customWidth="1"/>
    <col min="7684" max="7687" width="9.25" bestFit="1" customWidth="1"/>
    <col min="7688" max="7688" width="9.5" customWidth="1"/>
    <col min="7690" max="7690" width="9.75" customWidth="1"/>
    <col min="7937" max="7937" width="40.5" customWidth="1"/>
    <col min="7938" max="7938" width="10.5" customWidth="1"/>
    <col min="7939" max="7939" width="10.75" customWidth="1"/>
    <col min="7940" max="7943" width="9.25" bestFit="1" customWidth="1"/>
    <col min="7944" max="7944" width="9.5" customWidth="1"/>
    <col min="7946" max="7946" width="9.75" customWidth="1"/>
    <col min="8193" max="8193" width="40.5" customWidth="1"/>
    <col min="8194" max="8194" width="10.5" customWidth="1"/>
    <col min="8195" max="8195" width="10.75" customWidth="1"/>
    <col min="8196" max="8199" width="9.25" bestFit="1" customWidth="1"/>
    <col min="8200" max="8200" width="9.5" customWidth="1"/>
    <col min="8202" max="8202" width="9.75" customWidth="1"/>
    <col min="8449" max="8449" width="40.5" customWidth="1"/>
    <col min="8450" max="8450" width="10.5" customWidth="1"/>
    <col min="8451" max="8451" width="10.75" customWidth="1"/>
    <col min="8452" max="8455" width="9.25" bestFit="1" customWidth="1"/>
    <col min="8456" max="8456" width="9.5" customWidth="1"/>
    <col min="8458" max="8458" width="9.75" customWidth="1"/>
    <col min="8705" max="8705" width="40.5" customWidth="1"/>
    <col min="8706" max="8706" width="10.5" customWidth="1"/>
    <col min="8707" max="8707" width="10.75" customWidth="1"/>
    <col min="8708" max="8711" width="9.25" bestFit="1" customWidth="1"/>
    <col min="8712" max="8712" width="9.5" customWidth="1"/>
    <col min="8714" max="8714" width="9.75" customWidth="1"/>
    <col min="8961" max="8961" width="40.5" customWidth="1"/>
    <col min="8962" max="8962" width="10.5" customWidth="1"/>
    <col min="8963" max="8963" width="10.75" customWidth="1"/>
    <col min="8964" max="8967" width="9.25" bestFit="1" customWidth="1"/>
    <col min="8968" max="8968" width="9.5" customWidth="1"/>
    <col min="8970" max="8970" width="9.75" customWidth="1"/>
    <col min="9217" max="9217" width="40.5" customWidth="1"/>
    <col min="9218" max="9218" width="10.5" customWidth="1"/>
    <col min="9219" max="9219" width="10.75" customWidth="1"/>
    <col min="9220" max="9223" width="9.25" bestFit="1" customWidth="1"/>
    <col min="9224" max="9224" width="9.5" customWidth="1"/>
    <col min="9226" max="9226" width="9.75" customWidth="1"/>
    <col min="9473" max="9473" width="40.5" customWidth="1"/>
    <col min="9474" max="9474" width="10.5" customWidth="1"/>
    <col min="9475" max="9475" width="10.75" customWidth="1"/>
    <col min="9476" max="9479" width="9.25" bestFit="1" customWidth="1"/>
    <col min="9480" max="9480" width="9.5" customWidth="1"/>
    <col min="9482" max="9482" width="9.75" customWidth="1"/>
    <col min="9729" max="9729" width="40.5" customWidth="1"/>
    <col min="9730" max="9730" width="10.5" customWidth="1"/>
    <col min="9731" max="9731" width="10.75" customWidth="1"/>
    <col min="9732" max="9735" width="9.25" bestFit="1" customWidth="1"/>
    <col min="9736" max="9736" width="9.5" customWidth="1"/>
    <col min="9738" max="9738" width="9.75" customWidth="1"/>
    <col min="9985" max="9985" width="40.5" customWidth="1"/>
    <col min="9986" max="9986" width="10.5" customWidth="1"/>
    <col min="9987" max="9987" width="10.75" customWidth="1"/>
    <col min="9988" max="9991" width="9.25" bestFit="1" customWidth="1"/>
    <col min="9992" max="9992" width="9.5" customWidth="1"/>
    <col min="9994" max="9994" width="9.75" customWidth="1"/>
    <col min="10241" max="10241" width="40.5" customWidth="1"/>
    <col min="10242" max="10242" width="10.5" customWidth="1"/>
    <col min="10243" max="10243" width="10.75" customWidth="1"/>
    <col min="10244" max="10247" width="9.25" bestFit="1" customWidth="1"/>
    <col min="10248" max="10248" width="9.5" customWidth="1"/>
    <col min="10250" max="10250" width="9.75" customWidth="1"/>
    <col min="10497" max="10497" width="40.5" customWidth="1"/>
    <col min="10498" max="10498" width="10.5" customWidth="1"/>
    <col min="10499" max="10499" width="10.75" customWidth="1"/>
    <col min="10500" max="10503" width="9.25" bestFit="1" customWidth="1"/>
    <col min="10504" max="10504" width="9.5" customWidth="1"/>
    <col min="10506" max="10506" width="9.75" customWidth="1"/>
    <col min="10753" max="10753" width="40.5" customWidth="1"/>
    <col min="10754" max="10754" width="10.5" customWidth="1"/>
    <col min="10755" max="10755" width="10.75" customWidth="1"/>
    <col min="10756" max="10759" width="9.25" bestFit="1" customWidth="1"/>
    <col min="10760" max="10760" width="9.5" customWidth="1"/>
    <col min="10762" max="10762" width="9.75" customWidth="1"/>
    <col min="11009" max="11009" width="40.5" customWidth="1"/>
    <col min="11010" max="11010" width="10.5" customWidth="1"/>
    <col min="11011" max="11011" width="10.75" customWidth="1"/>
    <col min="11012" max="11015" width="9.25" bestFit="1" customWidth="1"/>
    <col min="11016" max="11016" width="9.5" customWidth="1"/>
    <col min="11018" max="11018" width="9.75" customWidth="1"/>
    <col min="11265" max="11265" width="40.5" customWidth="1"/>
    <col min="11266" max="11266" width="10.5" customWidth="1"/>
    <col min="11267" max="11267" width="10.75" customWidth="1"/>
    <col min="11268" max="11271" width="9.25" bestFit="1" customWidth="1"/>
    <col min="11272" max="11272" width="9.5" customWidth="1"/>
    <col min="11274" max="11274" width="9.75" customWidth="1"/>
    <col min="11521" max="11521" width="40.5" customWidth="1"/>
    <col min="11522" max="11522" width="10.5" customWidth="1"/>
    <col min="11523" max="11523" width="10.75" customWidth="1"/>
    <col min="11524" max="11527" width="9.25" bestFit="1" customWidth="1"/>
    <col min="11528" max="11528" width="9.5" customWidth="1"/>
    <col min="11530" max="11530" width="9.75" customWidth="1"/>
    <col min="11777" max="11777" width="40.5" customWidth="1"/>
    <col min="11778" max="11778" width="10.5" customWidth="1"/>
    <col min="11779" max="11779" width="10.75" customWidth="1"/>
    <col min="11780" max="11783" width="9.25" bestFit="1" customWidth="1"/>
    <col min="11784" max="11784" width="9.5" customWidth="1"/>
    <col min="11786" max="11786" width="9.75" customWidth="1"/>
    <col min="12033" max="12033" width="40.5" customWidth="1"/>
    <col min="12034" max="12034" width="10.5" customWidth="1"/>
    <col min="12035" max="12035" width="10.75" customWidth="1"/>
    <col min="12036" max="12039" width="9.25" bestFit="1" customWidth="1"/>
    <col min="12040" max="12040" width="9.5" customWidth="1"/>
    <col min="12042" max="12042" width="9.75" customWidth="1"/>
    <col min="12289" max="12289" width="40.5" customWidth="1"/>
    <col min="12290" max="12290" width="10.5" customWidth="1"/>
    <col min="12291" max="12291" width="10.75" customWidth="1"/>
    <col min="12292" max="12295" width="9.25" bestFit="1" customWidth="1"/>
    <col min="12296" max="12296" width="9.5" customWidth="1"/>
    <col min="12298" max="12298" width="9.75" customWidth="1"/>
    <col min="12545" max="12545" width="40.5" customWidth="1"/>
    <col min="12546" max="12546" width="10.5" customWidth="1"/>
    <col min="12547" max="12547" width="10.75" customWidth="1"/>
    <col min="12548" max="12551" width="9.25" bestFit="1" customWidth="1"/>
    <col min="12552" max="12552" width="9.5" customWidth="1"/>
    <col min="12554" max="12554" width="9.75" customWidth="1"/>
    <col min="12801" max="12801" width="40.5" customWidth="1"/>
    <col min="12802" max="12802" width="10.5" customWidth="1"/>
    <col min="12803" max="12803" width="10.75" customWidth="1"/>
    <col min="12804" max="12807" width="9.25" bestFit="1" customWidth="1"/>
    <col min="12808" max="12808" width="9.5" customWidth="1"/>
    <col min="12810" max="12810" width="9.75" customWidth="1"/>
    <col min="13057" max="13057" width="40.5" customWidth="1"/>
    <col min="13058" max="13058" width="10.5" customWidth="1"/>
    <col min="13059" max="13059" width="10.75" customWidth="1"/>
    <col min="13060" max="13063" width="9.25" bestFit="1" customWidth="1"/>
    <col min="13064" max="13064" width="9.5" customWidth="1"/>
    <col min="13066" max="13066" width="9.75" customWidth="1"/>
    <col min="13313" max="13313" width="40.5" customWidth="1"/>
    <col min="13314" max="13314" width="10.5" customWidth="1"/>
    <col min="13315" max="13315" width="10.75" customWidth="1"/>
    <col min="13316" max="13319" width="9.25" bestFit="1" customWidth="1"/>
    <col min="13320" max="13320" width="9.5" customWidth="1"/>
    <col min="13322" max="13322" width="9.75" customWidth="1"/>
    <col min="13569" max="13569" width="40.5" customWidth="1"/>
    <col min="13570" max="13570" width="10.5" customWidth="1"/>
    <col min="13571" max="13571" width="10.75" customWidth="1"/>
    <col min="13572" max="13575" width="9.25" bestFit="1" customWidth="1"/>
    <col min="13576" max="13576" width="9.5" customWidth="1"/>
    <col min="13578" max="13578" width="9.75" customWidth="1"/>
    <col min="13825" max="13825" width="40.5" customWidth="1"/>
    <col min="13826" max="13826" width="10.5" customWidth="1"/>
    <col min="13827" max="13827" width="10.75" customWidth="1"/>
    <col min="13828" max="13831" width="9.25" bestFit="1" customWidth="1"/>
    <col min="13832" max="13832" width="9.5" customWidth="1"/>
    <col min="13834" max="13834" width="9.75" customWidth="1"/>
    <col min="14081" max="14081" width="40.5" customWidth="1"/>
    <col min="14082" max="14082" width="10.5" customWidth="1"/>
    <col min="14083" max="14083" width="10.75" customWidth="1"/>
    <col min="14084" max="14087" width="9.25" bestFit="1" customWidth="1"/>
    <col min="14088" max="14088" width="9.5" customWidth="1"/>
    <col min="14090" max="14090" width="9.75" customWidth="1"/>
    <col min="14337" max="14337" width="40.5" customWidth="1"/>
    <col min="14338" max="14338" width="10.5" customWidth="1"/>
    <col min="14339" max="14339" width="10.75" customWidth="1"/>
    <col min="14340" max="14343" width="9.25" bestFit="1" customWidth="1"/>
    <col min="14344" max="14344" width="9.5" customWidth="1"/>
    <col min="14346" max="14346" width="9.75" customWidth="1"/>
    <col min="14593" max="14593" width="40.5" customWidth="1"/>
    <col min="14594" max="14594" width="10.5" customWidth="1"/>
    <col min="14595" max="14595" width="10.75" customWidth="1"/>
    <col min="14596" max="14599" width="9.25" bestFit="1" customWidth="1"/>
    <col min="14600" max="14600" width="9.5" customWidth="1"/>
    <col min="14602" max="14602" width="9.75" customWidth="1"/>
    <col min="14849" max="14849" width="40.5" customWidth="1"/>
    <col min="14850" max="14850" width="10.5" customWidth="1"/>
    <col min="14851" max="14851" width="10.75" customWidth="1"/>
    <col min="14852" max="14855" width="9.25" bestFit="1" customWidth="1"/>
    <col min="14856" max="14856" width="9.5" customWidth="1"/>
    <col min="14858" max="14858" width="9.75" customWidth="1"/>
    <col min="15105" max="15105" width="40.5" customWidth="1"/>
    <col min="15106" max="15106" width="10.5" customWidth="1"/>
    <col min="15107" max="15107" width="10.75" customWidth="1"/>
    <col min="15108" max="15111" width="9.25" bestFit="1" customWidth="1"/>
    <col min="15112" max="15112" width="9.5" customWidth="1"/>
    <col min="15114" max="15114" width="9.75" customWidth="1"/>
    <col min="15361" max="15361" width="40.5" customWidth="1"/>
    <col min="15362" max="15362" width="10.5" customWidth="1"/>
    <col min="15363" max="15363" width="10.75" customWidth="1"/>
    <col min="15364" max="15367" width="9.25" bestFit="1" customWidth="1"/>
    <col min="15368" max="15368" width="9.5" customWidth="1"/>
    <col min="15370" max="15370" width="9.75" customWidth="1"/>
    <col min="15617" max="15617" width="40.5" customWidth="1"/>
    <col min="15618" max="15618" width="10.5" customWidth="1"/>
    <col min="15619" max="15619" width="10.75" customWidth="1"/>
    <col min="15620" max="15623" width="9.25" bestFit="1" customWidth="1"/>
    <col min="15624" max="15624" width="9.5" customWidth="1"/>
    <col min="15626" max="15626" width="9.75" customWidth="1"/>
    <col min="15873" max="15873" width="40.5" customWidth="1"/>
    <col min="15874" max="15874" width="10.5" customWidth="1"/>
    <col min="15875" max="15875" width="10.75" customWidth="1"/>
    <col min="15876" max="15879" width="9.25" bestFit="1" customWidth="1"/>
    <col min="15880" max="15880" width="9.5" customWidth="1"/>
    <col min="15882" max="15882" width="9.75" customWidth="1"/>
    <col min="16129" max="16129" width="40.5" customWidth="1"/>
    <col min="16130" max="16130" width="10.5" customWidth="1"/>
    <col min="16131" max="16131" width="10.75" customWidth="1"/>
    <col min="16132" max="16135" width="9.25" bestFit="1" customWidth="1"/>
    <col min="16136" max="16136" width="9.5" customWidth="1"/>
    <col min="16138" max="16138" width="9.75" customWidth="1"/>
  </cols>
  <sheetData>
    <row r="1" spans="1:9" ht="39.75" thickBot="1">
      <c r="A1" s="50" t="s">
        <v>100</v>
      </c>
      <c r="B1" s="39" t="s">
        <v>80</v>
      </c>
      <c r="C1" s="39" t="s">
        <v>81</v>
      </c>
      <c r="D1" s="39" t="s">
        <v>0</v>
      </c>
      <c r="E1" s="39" t="s">
        <v>1</v>
      </c>
      <c r="F1" s="39" t="s">
        <v>2</v>
      </c>
      <c r="G1" s="40" t="s">
        <v>82</v>
      </c>
      <c r="H1" s="51"/>
    </row>
    <row r="2" spans="1:9">
      <c r="A2" s="52" t="s">
        <v>3</v>
      </c>
      <c r="B2" s="53">
        <f>'[1]Strateegia vorm KOV'!B2+'[1]Strateegia vorm sõltuv üksus'!B242-'[1]Strateegia vorm sõltuv üksus'!B246-'[1]Strateegia vorm sõltuv üksus'!B243</f>
        <v>19234699.739999998</v>
      </c>
      <c r="C2" s="53">
        <f>'[1]Strateegia vorm KOV'!C2+'[1]Strateegia vorm sõltuv üksus'!C242-'[1]Strateegia vorm sõltuv üksus'!C246-'[1]Strateegia vorm sõltuv üksus'!C243</f>
        <v>20723356</v>
      </c>
      <c r="D2" s="53">
        <f>'[1]Strateegia vorm KOV'!D2+'[1]Strateegia vorm sõltuv üksus'!D242-'[1]Strateegia vorm sõltuv üksus'!D246-'[1]Strateegia vorm sõltuv üksus'!D243</f>
        <v>22765291</v>
      </c>
      <c r="E2" s="53">
        <f>'[1]Strateegia vorm KOV'!E2+'[1]Strateegia vorm sõltuv üksus'!E242-'[1]Strateegia vorm sõltuv üksus'!E246-'[1]Strateegia vorm sõltuv üksus'!E243</f>
        <v>22562394</v>
      </c>
      <c r="F2" s="53">
        <f>'[1]Strateegia vorm KOV'!F2+'[1]Strateegia vorm sõltuv üksus'!F242-'[1]Strateegia vorm sõltuv üksus'!F246-'[1]Strateegia vorm sõltuv üksus'!F243</f>
        <v>23258261</v>
      </c>
      <c r="G2" s="54">
        <f>'[1]Strateegia vorm KOV'!G2+'[1]Strateegia vorm sõltuv üksus'!G242-'[1]Strateegia vorm sõltuv üksus'!G246-'[1]Strateegia vorm sõltuv üksus'!G243</f>
        <v>23917549</v>
      </c>
      <c r="I2" s="1"/>
    </row>
    <row r="3" spans="1:9">
      <c r="A3" s="52" t="s">
        <v>14</v>
      </c>
      <c r="B3" s="8">
        <f>'[1]Strateegia vorm KOV'!B13+'[1]Strateegia vorm sõltuv üksus'!B245-'[1]Strateegia vorm sõltuv üksus'!B246-'[1]Strateegia vorm sõltuv üksus'!B243</f>
        <v>17757782.82</v>
      </c>
      <c r="C3" s="8">
        <f>'[1]Strateegia vorm KOV'!C13+'[1]Strateegia vorm sõltuv üksus'!C245-'[1]Strateegia vorm sõltuv üksus'!C246-'[1]Strateegia vorm sõltuv üksus'!C243</f>
        <v>20265356</v>
      </c>
      <c r="D3" s="8">
        <f>'[1]Strateegia vorm KOV'!D13+'[1]Strateegia vorm sõltuv üksus'!D245-'[1]Strateegia vorm sõltuv üksus'!D246-'[1]Strateegia vorm sõltuv üksus'!D243</f>
        <v>20738377</v>
      </c>
      <c r="E3" s="8">
        <f>'[1]Strateegia vorm KOV'!E13+'[1]Strateegia vorm sõltuv üksus'!E245-'[1]Strateegia vorm sõltuv üksus'!E246-'[1]Strateegia vorm sõltuv üksus'!E243</f>
        <v>20660722.5</v>
      </c>
      <c r="F3" s="8">
        <f>'[1]Strateegia vorm KOV'!F13+'[1]Strateegia vorm sõltuv üksus'!F245-'[1]Strateegia vorm sõltuv üksus'!F246-'[1]Strateegia vorm sõltuv üksus'!F243</f>
        <v>21114152.25</v>
      </c>
      <c r="G3" s="9">
        <f>'[1]Strateegia vorm KOV'!G13+'[1]Strateegia vorm sõltuv üksus'!G245-'[1]Strateegia vorm sõltuv üksus'!G246-'[1]Strateegia vorm sõltuv üksus'!G243</f>
        <v>21602015.295000002</v>
      </c>
      <c r="I3" s="1"/>
    </row>
    <row r="4" spans="1:9">
      <c r="A4" s="55" t="s">
        <v>101</v>
      </c>
      <c r="B4" s="56">
        <f>'[1]Strateegia vorm sõltuv üksus'!B247+'[1]Strateegia vorm KOV'!B18-'[1]Strateegia vorm sõltuv üksus'!B244</f>
        <v>0</v>
      </c>
      <c r="C4" s="56">
        <f>'[1]Strateegia vorm sõltuv üksus'!C247+'[1]Strateegia vorm KOV'!C18-'[1]Strateegia vorm sõltuv üksus'!C244</f>
        <v>0</v>
      </c>
      <c r="D4" s="56">
        <f>'[1]Strateegia vorm sõltuv üksus'!D247+'[1]Strateegia vorm KOV'!D18-'[1]Strateegia vorm sõltuv üksus'!D244</f>
        <v>0</v>
      </c>
      <c r="E4" s="56">
        <f>'[1]Strateegia vorm sõltuv üksus'!E247+'[1]Strateegia vorm KOV'!E18-'[1]Strateegia vorm sõltuv üksus'!E244</f>
        <v>0</v>
      </c>
      <c r="F4" s="56">
        <f>'[1]Strateegia vorm sõltuv üksus'!F247+'[1]Strateegia vorm KOV'!F18-'[1]Strateegia vorm sõltuv üksus'!F244</f>
        <v>0</v>
      </c>
      <c r="G4" s="57">
        <f>'[1]Strateegia vorm sõltuv üksus'!G247+'[1]Strateegia vorm KOV'!G18-'[1]Strateegia vorm sõltuv üksus'!G244</f>
        <v>0</v>
      </c>
      <c r="I4" s="1"/>
    </row>
    <row r="5" spans="1:9">
      <c r="A5" s="52" t="s">
        <v>71</v>
      </c>
      <c r="B5" s="8">
        <f t="shared" ref="B5:G5" si="0">B2-B3</f>
        <v>1476916.9199999981</v>
      </c>
      <c r="C5" s="8">
        <f t="shared" si="0"/>
        <v>458000</v>
      </c>
      <c r="D5" s="8">
        <f t="shared" si="0"/>
        <v>2026914</v>
      </c>
      <c r="E5" s="8">
        <f t="shared" si="0"/>
        <v>1901671.5</v>
      </c>
      <c r="F5" s="8">
        <f t="shared" si="0"/>
        <v>2144108.75</v>
      </c>
      <c r="G5" s="9">
        <f t="shared" si="0"/>
        <v>2315533.7049999982</v>
      </c>
    </row>
    <row r="6" spans="1:9">
      <c r="A6" s="13" t="s">
        <v>21</v>
      </c>
      <c r="B6" s="24">
        <f>'[1]Strateegia vorm KOV'!B21+'[1]Strateegia vorm sõltuv üksus'!B249-'[1]Strateegia vorm KOV'!B30-'[1]Strateegia vorm KOV'!B29</f>
        <v>-1226624.9500000002</v>
      </c>
      <c r="C6" s="24">
        <f>'[1]Strateegia vorm KOV'!C21+'[1]Strateegia vorm sõltuv üksus'!C249-'[1]Strateegia vorm KOV'!C30-'[1]Strateegia vorm KOV'!C29</f>
        <v>-1542276</v>
      </c>
      <c r="D6" s="24">
        <f>'[1]Strateegia vorm KOV'!D21+'[1]Strateegia vorm sõltuv üksus'!D249-'[1]Strateegia vorm KOV'!D30-'[1]Strateegia vorm KOV'!D29</f>
        <v>-1048105.6</v>
      </c>
      <c r="E6" s="24">
        <f>'[1]Strateegia vorm KOV'!E21+'[1]Strateegia vorm sõltuv üksus'!E249-'[1]Strateegia vorm KOV'!E30-'[1]Strateegia vorm KOV'!E29</f>
        <v>-2323578.3328</v>
      </c>
      <c r="F6" s="24">
        <f>'[1]Strateegia vorm KOV'!F21+'[1]Strateegia vorm sõltuv üksus'!F249-'[1]Strateegia vorm KOV'!F30-'[1]Strateegia vorm KOV'!F29</f>
        <v>-2400942.6528000003</v>
      </c>
      <c r="G6" s="14">
        <f>'[1]Strateegia vorm KOV'!G21+'[1]Strateegia vorm sõltuv üksus'!G249-'[1]Strateegia vorm KOV'!G30-'[1]Strateegia vorm KOV'!G29</f>
        <v>-1025544.5728</v>
      </c>
      <c r="I6" s="1"/>
    </row>
    <row r="7" spans="1:9">
      <c r="A7" s="23" t="s">
        <v>33</v>
      </c>
      <c r="B7" s="24">
        <f t="shared" ref="B7:G7" si="1">B5+B6</f>
        <v>250291.96999999788</v>
      </c>
      <c r="C7" s="24">
        <f t="shared" si="1"/>
        <v>-1084276</v>
      </c>
      <c r="D7" s="24">
        <f t="shared" si="1"/>
        <v>978808.4</v>
      </c>
      <c r="E7" s="24">
        <f t="shared" si="1"/>
        <v>-421906.83279999997</v>
      </c>
      <c r="F7" s="24">
        <f t="shared" si="1"/>
        <v>-256833.90280000027</v>
      </c>
      <c r="G7" s="14">
        <f t="shared" si="1"/>
        <v>1289989.1321999982</v>
      </c>
    </row>
    <row r="8" spans="1:9">
      <c r="A8" s="23" t="s">
        <v>34</v>
      </c>
      <c r="B8" s="24">
        <f>'[1]Strateegia vorm KOV'!B34+'[1]Strateegia vorm sõltuv üksus'!B251+'[1]Strateegia vorm KOV'!B30+'[1]Strateegia vorm KOV'!B29</f>
        <v>527404.15999999992</v>
      </c>
      <c r="C8" s="24">
        <f>'[1]Strateegia vorm KOV'!C34+'[1]Strateegia vorm sõltuv üksus'!C251+'[1]Strateegia vorm KOV'!C30+'[1]Strateegia vorm KOV'!C29</f>
        <v>-401620</v>
      </c>
      <c r="D8" s="24">
        <f>'[1]Strateegia vorm KOV'!D34+'[1]Strateegia vorm sõltuv üksus'!D251+'[1]Strateegia vorm KOV'!D30+'[1]Strateegia vorm KOV'!D29</f>
        <v>-962296</v>
      </c>
      <c r="E8" s="24">
        <f>'[1]Strateegia vorm KOV'!E34+'[1]Strateegia vorm sõltuv üksus'!E251+'[1]Strateegia vorm KOV'!E30+'[1]Strateegia vorm KOV'!E29</f>
        <v>684108</v>
      </c>
      <c r="F8" s="24">
        <f>'[1]Strateegia vorm KOV'!F34+'[1]Strateegia vorm sõltuv üksus'!F251+'[1]Strateegia vorm KOV'!F30+'[1]Strateegia vorm KOV'!F29</f>
        <v>490048</v>
      </c>
      <c r="G8" s="14">
        <f>'[1]Strateegia vorm KOV'!G34+'[1]Strateegia vorm sõltuv üksus'!G251+'[1]Strateegia vorm KOV'!G30+'[1]Strateegia vorm KOV'!G29</f>
        <v>-1309952</v>
      </c>
      <c r="I8" s="1"/>
    </row>
    <row r="9" spans="1:9" ht="26.25">
      <c r="A9" s="26" t="s">
        <v>37</v>
      </c>
      <c r="B9" s="24">
        <f>'[1]Strateegia vorm KOV'!B37+'[1]Strateegia vorm sõltuv üksus'!B252</f>
        <v>-20820.97</v>
      </c>
      <c r="C9" s="24">
        <f>'[1]Strateegia vorm KOV'!C37+'[1]Strateegia vorm sõltuv üksus'!C252</f>
        <v>-1167660</v>
      </c>
      <c r="D9" s="24">
        <f>'[1]Strateegia vorm KOV'!D37+'[1]Strateegia vorm sõltuv üksus'!D252</f>
        <v>-314929.59999999998</v>
      </c>
      <c r="E9" s="24">
        <f>'[1]Strateegia vorm KOV'!E37+'[1]Strateegia vorm sõltuv üksus'!E252</f>
        <v>271427.16720000003</v>
      </c>
      <c r="F9" s="24">
        <f>'[1]Strateegia vorm KOV'!F37+'[1]Strateegia vorm sõltuv üksus'!F252</f>
        <v>233588.09719999973</v>
      </c>
      <c r="G9" s="14">
        <f>'[1]Strateegia vorm KOV'!G37+'[1]Strateegia vorm sõltuv üksus'!G252</f>
        <v>-12876.867800001753</v>
      </c>
    </row>
    <row r="10" spans="1:9">
      <c r="A10" s="26" t="s">
        <v>72</v>
      </c>
      <c r="B10" s="24">
        <f t="shared" ref="B10:G10" si="2">B9-B7-B8</f>
        <v>-798517.09999999776</v>
      </c>
      <c r="C10" s="24">
        <f t="shared" si="2"/>
        <v>318236</v>
      </c>
      <c r="D10" s="24">
        <f t="shared" si="2"/>
        <v>-331442</v>
      </c>
      <c r="E10" s="24">
        <f t="shared" si="2"/>
        <v>9226</v>
      </c>
      <c r="F10" s="24">
        <f t="shared" si="2"/>
        <v>374</v>
      </c>
      <c r="G10" s="14">
        <f t="shared" si="2"/>
        <v>7086</v>
      </c>
    </row>
    <row r="11" spans="1:9">
      <c r="A11" s="58"/>
      <c r="B11" s="59"/>
      <c r="C11" s="59"/>
      <c r="D11" s="59"/>
      <c r="E11" s="59"/>
      <c r="F11" s="59"/>
      <c r="G11" s="60"/>
    </row>
    <row r="12" spans="1:9">
      <c r="A12" s="26" t="s">
        <v>41</v>
      </c>
      <c r="B12" s="8">
        <f>'[1]Strateegia vorm KOV'!B41+'[1]Strateegia vorm sõltuv üksus'!B255</f>
        <v>1665998.02</v>
      </c>
      <c r="C12" s="61">
        <f>B12+C9</f>
        <v>498338.02</v>
      </c>
      <c r="D12" s="61">
        <f>C12+D9</f>
        <v>183408.42000000004</v>
      </c>
      <c r="E12" s="61">
        <f>D12+E9</f>
        <v>454835.58720000007</v>
      </c>
      <c r="F12" s="61">
        <f>E12+F9</f>
        <v>688423.68439999979</v>
      </c>
      <c r="G12" s="62">
        <f>F12+G9</f>
        <v>675546.81659999804</v>
      </c>
    </row>
    <row r="13" spans="1:9">
      <c r="A13" s="63" t="s">
        <v>73</v>
      </c>
      <c r="B13" s="8">
        <f>'[1]Strateegia vorm KOV'!B42+'[1]Strateegia vorm sõltuv üksus'!B256-'[1]Strateegia vorm sõltuv üksus'!B258-'[1]Strateegia vorm sõltuv üksus'!B259</f>
        <v>10438774.32</v>
      </c>
      <c r="C13" s="8">
        <f>'[1]Strateegia vorm KOV'!C42+'[1]Strateegia vorm sõltuv üksus'!C256-'[1]Strateegia vorm sõltuv üksus'!C258-'[1]Strateegia vorm sõltuv üksus'!C259</f>
        <v>9964254.3200000003</v>
      </c>
      <c r="D13" s="8">
        <f>'[1]Strateegia vorm KOV'!D42+'[1]Strateegia vorm sõltuv üksus'!D256-'[1]Strateegia vorm sõltuv üksus'!D258-'[1]Strateegia vorm sõltuv üksus'!D259</f>
        <v>9001958.3200000003</v>
      </c>
      <c r="E13" s="8">
        <f>'[1]Strateegia vorm KOV'!E42+'[1]Strateegia vorm sõltuv üksus'!E256-'[1]Strateegia vorm sõltuv üksus'!E258-'[1]Strateegia vorm sõltuv üksus'!E259</f>
        <v>9686066.3200000003</v>
      </c>
      <c r="F13" s="8">
        <f>'[1]Strateegia vorm KOV'!F42+'[1]Strateegia vorm sõltuv üksus'!F256-'[1]Strateegia vorm sõltuv üksus'!F258-'[1]Strateegia vorm sõltuv üksus'!F259</f>
        <v>10176114.32</v>
      </c>
      <c r="G13" s="9">
        <f>'[1]Strateegia vorm KOV'!G42+'[1]Strateegia vorm sõltuv üksus'!G256-'[1]Strateegia vorm sõltuv üksus'!G258-'[1]Strateegia vorm sõltuv üksus'!G259</f>
        <v>8866162.3200000003</v>
      </c>
    </row>
    <row r="14" spans="1:9" ht="22.5">
      <c r="A14" s="64" t="s">
        <v>74</v>
      </c>
      <c r="B14" s="27">
        <f>'[1]Strateegia vorm KOV'!B44+'[1]Strateegia vorm sõltuv üksus'!B257</f>
        <v>0</v>
      </c>
      <c r="C14" s="27">
        <f>'[1]Strateegia vorm KOV'!C44+'[1]Strateegia vorm sõltuv üksus'!C257</f>
        <v>0</v>
      </c>
      <c r="D14" s="27">
        <f>'[1]Strateegia vorm KOV'!D44+'[1]Strateegia vorm sõltuv üksus'!D257</f>
        <v>0</v>
      </c>
      <c r="E14" s="27">
        <f>'[1]Strateegia vorm KOV'!E44+'[1]Strateegia vorm sõltuv üksus'!E257</f>
        <v>0</v>
      </c>
      <c r="F14" s="27">
        <f>'[1]Strateegia vorm KOV'!F44+'[1]Strateegia vorm sõltuv üksus'!F257</f>
        <v>0</v>
      </c>
      <c r="G14" s="28">
        <f>'[1]Strateegia vorm KOV'!G44+'[1]Strateegia vorm sõltuv üksus'!G257</f>
        <v>0</v>
      </c>
    </row>
    <row r="15" spans="1:9">
      <c r="A15" s="33" t="s">
        <v>75</v>
      </c>
      <c r="B15" s="6">
        <f t="shared" ref="B15:G15" si="3">IF(B13-B12&lt;0,0,B13-B12)</f>
        <v>8772776.3000000007</v>
      </c>
      <c r="C15" s="6">
        <f t="shared" si="3"/>
        <v>9465916.3000000007</v>
      </c>
      <c r="D15" s="6">
        <f t="shared" si="3"/>
        <v>8818549.9000000004</v>
      </c>
      <c r="E15" s="6">
        <f t="shared" si="3"/>
        <v>9231230.7327999994</v>
      </c>
      <c r="F15" s="6">
        <f t="shared" si="3"/>
        <v>9487690.6356000006</v>
      </c>
      <c r="G15" s="5">
        <f t="shared" si="3"/>
        <v>8190615.5034000026</v>
      </c>
    </row>
    <row r="16" spans="1:9">
      <c r="A16" s="33" t="s">
        <v>76</v>
      </c>
      <c r="B16" s="65">
        <f t="shared" ref="B16:G16" si="4">B15/B2</f>
        <v>0.45609114873555084</v>
      </c>
      <c r="C16" s="65">
        <f t="shared" si="4"/>
        <v>0.45677525879495584</v>
      </c>
      <c r="D16" s="65">
        <f t="shared" si="4"/>
        <v>0.38736820451800946</v>
      </c>
      <c r="E16" s="65">
        <f t="shared" si="4"/>
        <v>0.40914234246596348</v>
      </c>
      <c r="F16" s="65">
        <f t="shared" si="4"/>
        <v>0.40792777394664204</v>
      </c>
      <c r="G16" s="66">
        <f t="shared" si="4"/>
        <v>0.34245212598498292</v>
      </c>
    </row>
    <row r="17" spans="1:9">
      <c r="A17" s="33" t="s">
        <v>77</v>
      </c>
      <c r="B17" s="27">
        <f>IF((B5+B4)*10&gt;B2,B2+B14,IF((B5+B4)*10&lt;0.8*B2,0.8*B2+B14,(B5+B4)*10+B14))</f>
        <v>15387759.791999999</v>
      </c>
      <c r="C17" s="27">
        <f>IF((C5+C4)*10&gt;C2,C2+C14,IF((C5+C4)*10&lt;0.8*C2,0.8*C2+C14,(C5+C4)*10+C14))</f>
        <v>16578684.800000001</v>
      </c>
      <c r="D17" s="27">
        <f>IF((D5+D4)*10&gt;D2,D2+D14,IF((D5+D4)*10&lt;0.8*D2,0.8*D2+D14,(D5+D4)*10+D14))</f>
        <v>20269140</v>
      </c>
      <c r="E17" s="27">
        <f>IF((E5+E4)*9&gt;E2,E2+E14,IF((E5+E4)*9&lt;0.75*E2,0.75*E2+E14,(E5+E4)*9+E14))</f>
        <v>17115043.5</v>
      </c>
      <c r="F17" s="27">
        <f>IF((F5+F4)*8&gt;F2,F2+F14,IF((F5+F4)*8&lt;0.7*F2,0.7*F2+F14,(F5+F4)*8+F14))</f>
        <v>17152870</v>
      </c>
      <c r="G17" s="67">
        <f>IF((G5+G4)*7&gt;G2,G2+G14,IF((G5+G4)*7&lt;0.65*G2,0.65*G2+G14,(G5+G4)*7+G14))</f>
        <v>16208735.934999987</v>
      </c>
      <c r="H17" s="68">
        <f>IF((H5+H4)*6&gt;H2,H2+H14,IF((H5+H4)*6&lt;0.6*H2,0.6*H2+H14,(H5+H4)*6+H14))</f>
        <v>0</v>
      </c>
      <c r="I17" s="69"/>
    </row>
    <row r="18" spans="1:9">
      <c r="A18" s="33" t="s">
        <v>78</v>
      </c>
      <c r="B18" s="70">
        <f t="shared" ref="B18:G18" si="5">B17/B2</f>
        <v>0.8</v>
      </c>
      <c r="C18" s="70">
        <f t="shared" si="5"/>
        <v>0.8</v>
      </c>
      <c r="D18" s="70">
        <f t="shared" si="5"/>
        <v>0.8903527743177102</v>
      </c>
      <c r="E18" s="70">
        <f t="shared" si="5"/>
        <v>0.75856504854936935</v>
      </c>
      <c r="F18" s="70">
        <f t="shared" si="5"/>
        <v>0.73749580847854446</v>
      </c>
      <c r="G18" s="66">
        <f t="shared" si="5"/>
        <v>0.67769218054073965</v>
      </c>
    </row>
    <row r="19" spans="1:9" ht="16.5" thickBot="1">
      <c r="A19" s="71" t="s">
        <v>45</v>
      </c>
      <c r="B19" s="72">
        <f t="shared" ref="B19:G19" si="6">B17-B15</f>
        <v>6614983.4919999987</v>
      </c>
      <c r="C19" s="72">
        <f t="shared" si="6"/>
        <v>7112768.5</v>
      </c>
      <c r="D19" s="72">
        <f t="shared" si="6"/>
        <v>11450590.1</v>
      </c>
      <c r="E19" s="72">
        <f t="shared" si="6"/>
        <v>7883812.7672000006</v>
      </c>
      <c r="F19" s="72">
        <f t="shared" si="6"/>
        <v>7665179.3643999994</v>
      </c>
      <c r="G19" s="73">
        <f t="shared" si="6"/>
        <v>8018120.4315999849</v>
      </c>
    </row>
    <row r="21" spans="1:9">
      <c r="B21" s="16"/>
      <c r="C21" s="16"/>
      <c r="D21" s="16"/>
      <c r="E21" s="16"/>
      <c r="F21" s="16"/>
      <c r="G21" s="16"/>
    </row>
    <row r="22" spans="1:9">
      <c r="B22" s="16"/>
      <c r="C22" s="16"/>
      <c r="D22" s="16"/>
      <c r="E22" s="16"/>
      <c r="F22" s="16"/>
      <c r="G22" s="16"/>
    </row>
  </sheetData>
  <conditionalFormatting sqref="B19:G19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Strateegia vorm KOV</vt:lpstr>
      <vt:lpstr>Arvestusüksus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Ylo Peets</dc:creator>
  <cp:lastModifiedBy>Marko Teiva</cp:lastModifiedBy>
  <dcterms:created xsi:type="dcterms:W3CDTF">2022-10-04T06:27:02Z</dcterms:created>
  <dcterms:modified xsi:type="dcterms:W3CDTF">2024-01-16T12:36:38Z</dcterms:modified>
</cp:coreProperties>
</file>